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Книги\Здоровье_Хобби_Питание\ПРЕФЕРАНС\Статьи, Книги\_Мои статьи\"/>
    </mc:Choice>
  </mc:AlternateContent>
  <bookViews>
    <workbookView xWindow="14085" yWindow="165" windowWidth="14700" windowHeight="12360"/>
  </bookViews>
  <sheets>
    <sheet name="мизер против 9-ной" sheetId="5" r:id="rId1"/>
    <sheet name="Ответы на критику" sheetId="4" r:id="rId2"/>
    <sheet name="мизер vs &quot;преферанс&quot;" sheetId="6" r:id="rId3"/>
    <sheet name="9-10-ные для Д10_98_10987_10987" sheetId="7" r:id="rId4"/>
  </sheets>
  <definedNames>
    <definedName name="_xlnm._FilterDatabase" localSheetId="0" hidden="1">'мизер против 9-ной'!$O$3:$V$3</definedName>
  </definedNames>
  <calcPr calcId="162913"/>
</workbook>
</file>

<file path=xl/calcChain.xml><?xml version="1.0" encoding="utf-8"?>
<calcChain xmlns="http://schemas.openxmlformats.org/spreadsheetml/2006/main">
  <c r="J4" i="7" l="1"/>
  <c r="J17" i="7" l="1"/>
  <c r="J16" i="7"/>
  <c r="J8" i="7"/>
  <c r="J12" i="7"/>
  <c r="J11" i="7"/>
  <c r="J50" i="7"/>
  <c r="J53" i="7"/>
  <c r="J61" i="7"/>
  <c r="J94" i="7"/>
  <c r="J99" i="7"/>
  <c r="J108" i="7"/>
  <c r="J103" i="7"/>
  <c r="J107" i="7"/>
  <c r="J111" i="7"/>
  <c r="J114" i="7"/>
  <c r="J117" i="7"/>
  <c r="J121" i="7"/>
  <c r="J136" i="7"/>
  <c r="J135" i="7"/>
  <c r="J118" i="7"/>
  <c r="J112" i="7"/>
  <c r="J110" i="7"/>
  <c r="J122" i="7" l="1"/>
  <c r="J120" i="7"/>
  <c r="J116" i="7"/>
  <c r="J119" i="7"/>
  <c r="J115" i="7"/>
  <c r="J113" i="7"/>
  <c r="J109" i="7"/>
  <c r="J83" i="7" l="1"/>
  <c r="J81" i="7"/>
  <c r="J79" i="7"/>
  <c r="J77" i="7"/>
  <c r="J126" i="7"/>
  <c r="J124" i="7"/>
  <c r="J104" i="7"/>
  <c r="J101" i="7"/>
  <c r="J100" i="7"/>
  <c r="J97" i="7"/>
  <c r="J96" i="7"/>
  <c r="J95" i="7"/>
  <c r="J93" i="7"/>
  <c r="J37" i="7" l="1"/>
  <c r="J15" i="7"/>
  <c r="J13" i="7"/>
  <c r="J10" i="7"/>
  <c r="J6" i="7" l="1"/>
  <c r="J5" i="7" l="1"/>
  <c r="J125" i="7"/>
  <c r="J102" i="7"/>
  <c r="J98" i="7"/>
  <c r="J82" i="7"/>
  <c r="J80" i="7"/>
  <c r="J78" i="7"/>
  <c r="J123" i="7" l="1"/>
  <c r="J92" i="7"/>
  <c r="J91" i="7"/>
  <c r="J90" i="7"/>
  <c r="J89" i="7"/>
  <c r="J88" i="7"/>
  <c r="J76" i="7"/>
  <c r="J75" i="7"/>
  <c r="J74" i="7"/>
  <c r="J73" i="7"/>
  <c r="J72" i="7"/>
  <c r="J41" i="7"/>
  <c r="J38" i="7"/>
  <c r="J87" i="7" l="1"/>
  <c r="J86" i="7"/>
  <c r="J85" i="7"/>
  <c r="J84" i="7"/>
  <c r="J141" i="7" l="1"/>
  <c r="J140" i="7"/>
  <c r="J143" i="7"/>
  <c r="J142" i="7"/>
  <c r="J139" i="7"/>
  <c r="J138" i="7"/>
  <c r="J127" i="7"/>
  <c r="J106" i="7" l="1"/>
  <c r="J105" i="7"/>
  <c r="J70" i="7" l="1"/>
  <c r="J69" i="7"/>
  <c r="J67" i="7"/>
  <c r="J71" i="7"/>
  <c r="J68" i="7"/>
  <c r="J60" i="7"/>
  <c r="J59" i="7"/>
  <c r="J45" i="7" l="1"/>
  <c r="J43" i="7"/>
  <c r="J44" i="7"/>
  <c r="J42" i="7"/>
  <c r="J40" i="7"/>
  <c r="J39" i="7"/>
  <c r="J36" i="7"/>
  <c r="J35" i="7"/>
  <c r="J34" i="7" l="1"/>
  <c r="J32" i="7"/>
  <c r="J30" i="7"/>
  <c r="J31" i="7"/>
  <c r="J29" i="7"/>
  <c r="J26" i="7"/>
  <c r="J25" i="7"/>
  <c r="J23" i="7"/>
  <c r="J22" i="7"/>
  <c r="J21" i="7"/>
  <c r="J18" i="7"/>
  <c r="J9" i="7"/>
  <c r="J14" i="7"/>
  <c r="J137" i="7"/>
  <c r="J134" i="7"/>
  <c r="J133" i="7"/>
  <c r="J132" i="7"/>
  <c r="J128" i="7"/>
  <c r="J131" i="7"/>
  <c r="J130" i="7"/>
  <c r="J129" i="7"/>
  <c r="K143" i="7" l="1"/>
  <c r="K131" i="7" l="1"/>
  <c r="J55" i="7"/>
  <c r="J66" i="7"/>
  <c r="J65" i="7"/>
  <c r="J64" i="7"/>
  <c r="J62" i="7"/>
  <c r="J63" i="7"/>
  <c r="J56" i="7"/>
  <c r="J58" i="7"/>
  <c r="J57" i="7"/>
  <c r="J54" i="7"/>
  <c r="J52" i="7"/>
  <c r="J51" i="7"/>
  <c r="J49" i="7"/>
  <c r="J48" i="7"/>
  <c r="J47" i="7"/>
  <c r="J46" i="7"/>
  <c r="J28" i="7"/>
  <c r="J33" i="7"/>
  <c r="J7" i="7"/>
  <c r="J24" i="7"/>
  <c r="J20" i="7"/>
  <c r="J19" i="7"/>
  <c r="J27" i="7"/>
  <c r="K37" i="6"/>
  <c r="I37" i="6"/>
  <c r="M37" i="6" s="1"/>
  <c r="K36" i="6"/>
  <c r="I36" i="6"/>
  <c r="J36" i="6"/>
  <c r="K35" i="6"/>
  <c r="I35" i="6"/>
  <c r="M35" i="6" s="1"/>
  <c r="H34" i="6"/>
  <c r="I34" i="6" s="1"/>
  <c r="H33" i="6"/>
  <c r="I33" i="6" s="1"/>
  <c r="K32" i="6"/>
  <c r="I32" i="6"/>
  <c r="M32" i="6" s="1"/>
  <c r="K31" i="6"/>
  <c r="I31" i="6"/>
  <c r="K30" i="6"/>
  <c r="I30" i="6"/>
  <c r="M30" i="6"/>
  <c r="L29" i="6"/>
  <c r="K29" i="6"/>
  <c r="I29" i="6"/>
  <c r="K28" i="6"/>
  <c r="I28" i="6"/>
  <c r="M28" i="6"/>
  <c r="K27" i="6"/>
  <c r="I27" i="6"/>
  <c r="H26" i="6"/>
  <c r="I26" i="6"/>
  <c r="M26" i="6" s="1"/>
  <c r="H25" i="6"/>
  <c r="I25" i="6" s="1"/>
  <c r="H24" i="6"/>
  <c r="I24" i="6" s="1"/>
  <c r="M19" i="6"/>
  <c r="I19" i="6"/>
  <c r="K15" i="6"/>
  <c r="I15" i="6"/>
  <c r="M15" i="6" s="1"/>
  <c r="K14" i="6"/>
  <c r="I14" i="6"/>
  <c r="M36" i="6" s="1"/>
  <c r="N36" i="6" s="1"/>
  <c r="K13" i="6"/>
  <c r="I13" i="6"/>
  <c r="M13" i="6" s="1"/>
  <c r="H12" i="6"/>
  <c r="I12" i="6" s="1"/>
  <c r="K11" i="6"/>
  <c r="I11" i="6"/>
  <c r="M11" i="6" s="1"/>
  <c r="K10" i="6"/>
  <c r="I10" i="6"/>
  <c r="M31" i="6"/>
  <c r="K9" i="6"/>
  <c r="I9" i="6"/>
  <c r="M9" i="6" s="1"/>
  <c r="K8" i="6"/>
  <c r="I8" i="6"/>
  <c r="M8" i="6"/>
  <c r="H7" i="6"/>
  <c r="I7" i="6" s="1"/>
  <c r="H6" i="6"/>
  <c r="I6" i="6"/>
  <c r="M6" i="6" s="1"/>
  <c r="H5" i="6"/>
  <c r="I5" i="6" s="1"/>
  <c r="H4" i="6"/>
  <c r="I4" i="6" s="1"/>
  <c r="U50" i="5"/>
  <c r="V50" i="5" s="1"/>
  <c r="U49" i="5"/>
  <c r="V49" i="5"/>
  <c r="Y49" i="5" s="1"/>
  <c r="U48" i="5"/>
  <c r="Y48" i="5" s="1"/>
  <c r="AF47" i="5"/>
  <c r="AC47" i="5"/>
  <c r="U47" i="5"/>
  <c r="V47" i="5"/>
  <c r="U46" i="5"/>
  <c r="Y46" i="5"/>
  <c r="U45" i="5"/>
  <c r="Y45" i="5"/>
  <c r="U44" i="5"/>
  <c r="Y44" i="5"/>
  <c r="U43" i="5"/>
  <c r="V43" i="5"/>
  <c r="U42" i="5"/>
  <c r="Y42" i="5"/>
  <c r="U41" i="5"/>
  <c r="V41" i="5"/>
  <c r="U40" i="5"/>
  <c r="V40" i="5"/>
  <c r="U39" i="5"/>
  <c r="Y39" i="5"/>
  <c r="Z36" i="5" s="1"/>
  <c r="U38" i="5"/>
  <c r="V38" i="5" s="1"/>
  <c r="U37" i="5"/>
  <c r="V37" i="5" s="1"/>
  <c r="AF36" i="5"/>
  <c r="AC36" i="5"/>
  <c r="U36" i="5"/>
  <c r="V36" i="5" s="1"/>
  <c r="U35" i="5"/>
  <c r="V35" i="5" s="1"/>
  <c r="Y35" i="5" s="1"/>
  <c r="U34" i="5"/>
  <c r="V34" i="5"/>
  <c r="Y34" i="5" s="1"/>
  <c r="U33" i="5"/>
  <c r="V33" i="5" s="1"/>
  <c r="Y33" i="5" s="1"/>
  <c r="U32" i="5"/>
  <c r="V32" i="5"/>
  <c r="Y32" i="5" s="1"/>
  <c r="AE31" i="5"/>
  <c r="AB31" i="5"/>
  <c r="U31" i="5"/>
  <c r="V31" i="5" s="1"/>
  <c r="Y31" i="5" s="1"/>
  <c r="AE30" i="5"/>
  <c r="AB30" i="5"/>
  <c r="U30" i="5"/>
  <c r="V30" i="5"/>
  <c r="Y30" i="5" s="1"/>
  <c r="U29" i="5"/>
  <c r="V29" i="5" s="1"/>
  <c r="Y29" i="5" s="1"/>
  <c r="AE28" i="5"/>
  <c r="AB28" i="5"/>
  <c r="U28" i="5"/>
  <c r="V28" i="5"/>
  <c r="Y28" i="5" s="1"/>
  <c r="U27" i="5"/>
  <c r="V27" i="5" s="1"/>
  <c r="Y27" i="5" s="1"/>
  <c r="AE26" i="5"/>
  <c r="AB26" i="5"/>
  <c r="U26" i="5"/>
  <c r="V26" i="5"/>
  <c r="Y26" i="5" s="1"/>
  <c r="U25" i="5"/>
  <c r="V25" i="5" s="1"/>
  <c r="Y25" i="5" s="1"/>
  <c r="AE24" i="5"/>
  <c r="AB24" i="5"/>
  <c r="U24" i="5"/>
  <c r="V24" i="5"/>
  <c r="Y24" i="5" s="1"/>
  <c r="I24" i="5"/>
  <c r="L24" i="5" s="1"/>
  <c r="AE23" i="5"/>
  <c r="AF23" i="5" s="1"/>
  <c r="AB23" i="5"/>
  <c r="AC23" i="5" s="1"/>
  <c r="U23" i="5"/>
  <c r="V23" i="5" s="1"/>
  <c r="I23" i="5"/>
  <c r="L23" i="5" s="1"/>
  <c r="M23" i="5" s="1"/>
  <c r="U22" i="5"/>
  <c r="V22" i="5"/>
  <c r="Y22" i="5" s="1"/>
  <c r="I22" i="5"/>
  <c r="L22" i="5" s="1"/>
  <c r="U21" i="5"/>
  <c r="V21" i="5" s="1"/>
  <c r="Y21" i="5" s="1"/>
  <c r="H21" i="5"/>
  <c r="I21" i="5"/>
  <c r="L21" i="5" s="1"/>
  <c r="U20" i="5"/>
  <c r="V20" i="5" s="1"/>
  <c r="Y20" i="5" s="1"/>
  <c r="I20" i="5"/>
  <c r="L20" i="5"/>
  <c r="U19" i="5"/>
  <c r="V19" i="5"/>
  <c r="Y19" i="5" s="1"/>
  <c r="I19" i="5"/>
  <c r="L19" i="5" s="1"/>
  <c r="U18" i="5"/>
  <c r="V18" i="5" s="1"/>
  <c r="Y18" i="5" s="1"/>
  <c r="I18" i="5"/>
  <c r="L18" i="5"/>
  <c r="M18" i="5" s="1"/>
  <c r="AE17" i="5"/>
  <c r="AF13" i="5" s="1"/>
  <c r="AB17" i="5"/>
  <c r="U17" i="5"/>
  <c r="V17" i="5" s="1"/>
  <c r="I17" i="5"/>
  <c r="L17" i="5"/>
  <c r="AE16" i="5"/>
  <c r="AB16" i="5"/>
  <c r="U16" i="5"/>
  <c r="V16" i="5"/>
  <c r="Y16" i="5" s="1"/>
  <c r="H16" i="5"/>
  <c r="I16" i="5" s="1"/>
  <c r="L16" i="5" s="1"/>
  <c r="U15" i="5"/>
  <c r="V15" i="5"/>
  <c r="Y15" i="5" s="1"/>
  <c r="H15" i="5"/>
  <c r="I15" i="5" s="1"/>
  <c r="L15" i="5" s="1"/>
  <c r="AE14" i="5"/>
  <c r="AB14" i="5"/>
  <c r="U14" i="5"/>
  <c r="V14" i="5"/>
  <c r="Y14" i="5" s="1"/>
  <c r="H14" i="5"/>
  <c r="I14" i="5" s="1"/>
  <c r="AE13" i="5"/>
  <c r="AB13" i="5"/>
  <c r="AC13" i="5"/>
  <c r="U13" i="5"/>
  <c r="V13" i="5"/>
  <c r="I13" i="5"/>
  <c r="L13" i="5"/>
  <c r="U12" i="5"/>
  <c r="V12" i="5" s="1"/>
  <c r="Y12" i="5" s="1"/>
  <c r="H12" i="5"/>
  <c r="I12" i="5"/>
  <c r="L12" i="5" s="1"/>
  <c r="U11" i="5"/>
  <c r="V11" i="5" s="1"/>
  <c r="Y11" i="5" s="1"/>
  <c r="I11" i="5"/>
  <c r="L11" i="5"/>
  <c r="U10" i="5"/>
  <c r="V10" i="5"/>
  <c r="Y10" i="5" s="1"/>
  <c r="H10" i="5"/>
  <c r="I10" i="5" s="1"/>
  <c r="L10" i="5" s="1"/>
  <c r="AE9" i="5"/>
  <c r="AB9" i="5"/>
  <c r="U9" i="5"/>
  <c r="V9" i="5"/>
  <c r="Y9" i="5" s="1"/>
  <c r="H9" i="5"/>
  <c r="I9" i="5" s="1"/>
  <c r="U8" i="5"/>
  <c r="V8" i="5" s="1"/>
  <c r="Y8" i="5" s="1"/>
  <c r="H8" i="5"/>
  <c r="I8" i="5"/>
  <c r="L8" i="5" s="1"/>
  <c r="AE7" i="5"/>
  <c r="AB7" i="5"/>
  <c r="U7" i="5"/>
  <c r="V7" i="5" s="1"/>
  <c r="H7" i="5"/>
  <c r="I7" i="5"/>
  <c r="L7" i="5" s="1"/>
  <c r="AE6" i="5"/>
  <c r="AE51" i="5" s="1"/>
  <c r="AB6" i="5"/>
  <c r="AB51" i="5"/>
  <c r="U6" i="5"/>
  <c r="V6" i="5"/>
  <c r="H6" i="5"/>
  <c r="I6" i="5"/>
  <c r="U5" i="5"/>
  <c r="V5" i="5"/>
  <c r="Y5" i="5" s="1"/>
  <c r="H5" i="5"/>
  <c r="I5" i="5" s="1"/>
  <c r="L5" i="5" s="1"/>
  <c r="AF4" i="5"/>
  <c r="AC4" i="5"/>
  <c r="C38" i="5" s="1"/>
  <c r="U4" i="5"/>
  <c r="V4" i="5"/>
  <c r="H4" i="5"/>
  <c r="I4" i="5"/>
  <c r="I19" i="4"/>
  <c r="H19" i="4"/>
  <c r="G19" i="4"/>
  <c r="F19" i="4"/>
  <c r="C19" i="4"/>
  <c r="B19" i="4"/>
  <c r="I18" i="4"/>
  <c r="H18" i="4"/>
  <c r="G18" i="4"/>
  <c r="F18" i="4"/>
  <c r="C18" i="4"/>
  <c r="B18" i="4"/>
  <c r="I17" i="4"/>
  <c r="H17" i="4"/>
  <c r="G17" i="4"/>
  <c r="F17" i="4"/>
  <c r="C17" i="4"/>
  <c r="B17" i="4"/>
  <c r="I16" i="4"/>
  <c r="H16" i="4"/>
  <c r="G16" i="4"/>
  <c r="F16" i="4"/>
  <c r="C16" i="4"/>
  <c r="Q36" i="4" s="1"/>
  <c r="R36" i="4" s="1"/>
  <c r="I15" i="4"/>
  <c r="H15" i="4"/>
  <c r="G15" i="4"/>
  <c r="F15" i="4"/>
  <c r="C15" i="4"/>
  <c r="Q29" i="4" s="1"/>
  <c r="R29" i="4" s="1"/>
  <c r="B15" i="4"/>
  <c r="I14" i="4"/>
  <c r="H14" i="4"/>
  <c r="G14" i="4"/>
  <c r="F14" i="4"/>
  <c r="C14" i="4"/>
  <c r="B14" i="4"/>
  <c r="I9" i="4"/>
  <c r="H9" i="4"/>
  <c r="G9" i="4"/>
  <c r="F9" i="4"/>
  <c r="C9" i="4"/>
  <c r="B9" i="4"/>
  <c r="I8" i="4"/>
  <c r="H8" i="4"/>
  <c r="G8" i="4"/>
  <c r="F8" i="4"/>
  <c r="C8" i="4"/>
  <c r="B8" i="4"/>
  <c r="I7" i="4"/>
  <c r="H7" i="4"/>
  <c r="G7" i="4"/>
  <c r="F7" i="4"/>
  <c r="C7" i="4"/>
  <c r="B7" i="4"/>
  <c r="I6" i="4"/>
  <c r="H6" i="4"/>
  <c r="G6" i="4"/>
  <c r="F6" i="4"/>
  <c r="C6" i="4"/>
  <c r="M36" i="4" s="1"/>
  <c r="N36" i="4" s="1"/>
  <c r="I5" i="4"/>
  <c r="H5" i="4"/>
  <c r="G5" i="4"/>
  <c r="F5" i="4"/>
  <c r="C5" i="4"/>
  <c r="B5" i="4"/>
  <c r="I4" i="4"/>
  <c r="H4" i="4"/>
  <c r="G4" i="4"/>
  <c r="F4" i="4"/>
  <c r="C4" i="4"/>
  <c r="B4" i="4"/>
  <c r="H27" i="4"/>
  <c r="I27" i="4"/>
  <c r="Q27" i="4"/>
  <c r="R27" i="4"/>
  <c r="H28" i="4"/>
  <c r="I28" i="4"/>
  <c r="Q28" i="4"/>
  <c r="R28" i="4"/>
  <c r="H29" i="4"/>
  <c r="I29" i="4"/>
  <c r="H34" i="4"/>
  <c r="I34" i="4"/>
  <c r="Q34" i="4"/>
  <c r="R34" i="4"/>
  <c r="H35" i="4"/>
  <c r="I35" i="4"/>
  <c r="Q35" i="4"/>
  <c r="R35" i="4"/>
  <c r="H36" i="4"/>
  <c r="I36" i="4"/>
  <c r="L4" i="5"/>
  <c r="Y4" i="5"/>
  <c r="W4" i="5"/>
  <c r="L6" i="5"/>
  <c r="M6" i="5" s="1"/>
  <c r="J6" i="5"/>
  <c r="Y6" i="5"/>
  <c r="AB52" i="5"/>
  <c r="H38" i="5"/>
  <c r="AC6" i="5"/>
  <c r="D38" i="5" s="1"/>
  <c r="AF6" i="5"/>
  <c r="Y13" i="5"/>
  <c r="E38" i="5"/>
  <c r="G38" i="5"/>
  <c r="J18" i="5"/>
  <c r="J23" i="5"/>
  <c r="V39" i="5"/>
  <c r="V42" i="5"/>
  <c r="X40" i="5" s="1"/>
  <c r="V44" i="5"/>
  <c r="V45" i="5"/>
  <c r="V46" i="5"/>
  <c r="X45" i="5" s="1"/>
  <c r="V48" i="5"/>
  <c r="M10" i="6"/>
  <c r="J14" i="6"/>
  <c r="M14" i="6"/>
  <c r="N14" i="6" s="1"/>
  <c r="I25" i="5" l="1"/>
  <c r="L9" i="5"/>
  <c r="M9" i="5" s="1"/>
  <c r="J9" i="5"/>
  <c r="Y17" i="5"/>
  <c r="W13" i="5"/>
  <c r="AC51" i="5"/>
  <c r="F38" i="5"/>
  <c r="I16" i="6"/>
  <c r="M4" i="6"/>
  <c r="J4" i="6"/>
  <c r="M27" i="6"/>
  <c r="M7" i="6"/>
  <c r="I38" i="6"/>
  <c r="M24" i="6"/>
  <c r="J24" i="6"/>
  <c r="H31" i="5"/>
  <c r="D31" i="5"/>
  <c r="L25" i="5"/>
  <c r="J13" i="5"/>
  <c r="F31" i="5" s="1"/>
  <c r="L14" i="5"/>
  <c r="M25" i="6"/>
  <c r="M5" i="6"/>
  <c r="V51" i="5"/>
  <c r="Y7" i="5"/>
  <c r="Z6" i="5" s="1"/>
  <c r="W6" i="5"/>
  <c r="M13" i="5"/>
  <c r="Z13" i="5"/>
  <c r="AF51" i="5"/>
  <c r="Z4" i="5"/>
  <c r="C44" i="5"/>
  <c r="D44" i="5" s="1"/>
  <c r="AE52" i="5"/>
  <c r="Y23" i="5"/>
  <c r="Z23" i="5" s="1"/>
  <c r="W23" i="5"/>
  <c r="F34" i="5" s="1"/>
  <c r="W36" i="5"/>
  <c r="G34" i="5" s="1"/>
  <c r="X36" i="5"/>
  <c r="Y50" i="5"/>
  <c r="Z47" i="5" s="1"/>
  <c r="W47" i="5"/>
  <c r="H34" i="5" s="1"/>
  <c r="M12" i="6"/>
  <c r="N9" i="6" s="1"/>
  <c r="J9" i="6"/>
  <c r="J30" i="6"/>
  <c r="M33" i="6"/>
  <c r="N30" i="6" s="1"/>
  <c r="M4" i="5"/>
  <c r="J4" i="5"/>
  <c r="D36" i="4"/>
  <c r="E36" i="4" s="1"/>
  <c r="D35" i="4"/>
  <c r="E35" i="4" s="1"/>
  <c r="D34" i="4"/>
  <c r="E34" i="4" s="1"/>
  <c r="D29" i="4"/>
  <c r="E29" i="4" s="1"/>
  <c r="D28" i="4"/>
  <c r="E28" i="4" s="1"/>
  <c r="D27" i="4"/>
  <c r="E27" i="4" s="1"/>
  <c r="M35" i="4"/>
  <c r="N35" i="4" s="1"/>
  <c r="M34" i="4"/>
  <c r="N34" i="4" s="1"/>
  <c r="M29" i="4"/>
  <c r="N29" i="4" s="1"/>
  <c r="M28" i="4"/>
  <c r="N28" i="4" s="1"/>
  <c r="M27" i="4"/>
  <c r="N27" i="4" s="1"/>
  <c r="J144" i="7"/>
  <c r="K36" i="7"/>
  <c r="K71" i="7"/>
  <c r="Z51" i="5" l="1"/>
  <c r="G35" i="5" s="1"/>
  <c r="H39" i="5"/>
  <c r="G39" i="5"/>
  <c r="D39" i="5"/>
  <c r="C39" i="5"/>
  <c r="L26" i="5"/>
  <c r="J38" i="6"/>
  <c r="I17" i="6"/>
  <c r="C44" i="6"/>
  <c r="C45" i="6" s="1"/>
  <c r="C31" i="5"/>
  <c r="J25" i="5"/>
  <c r="Y51" i="5"/>
  <c r="Y52" i="5" s="1"/>
  <c r="E35" i="5"/>
  <c r="C34" i="5"/>
  <c r="V52" i="5"/>
  <c r="F39" i="5"/>
  <c r="M38" i="6"/>
  <c r="N24" i="6"/>
  <c r="N38" i="6" s="1"/>
  <c r="E34" i="5"/>
  <c r="C42" i="5"/>
  <c r="I26" i="5"/>
  <c r="M25" i="5"/>
  <c r="C30" i="5"/>
  <c r="I39" i="6"/>
  <c r="D46" i="6"/>
  <c r="D47" i="6" s="1"/>
  <c r="J16" i="6"/>
  <c r="E39" i="5"/>
  <c r="D34" i="5"/>
  <c r="W51" i="5"/>
  <c r="M16" i="6"/>
  <c r="M17" i="6" s="1"/>
  <c r="N4" i="6"/>
  <c r="N16" i="6" s="1"/>
  <c r="E31" i="5"/>
  <c r="G31" i="5"/>
  <c r="K144" i="7"/>
  <c r="W59" i="5" l="1"/>
  <c r="D30" i="5"/>
  <c r="H30" i="5"/>
  <c r="G30" i="5"/>
  <c r="C43" i="5"/>
  <c r="D43" i="5" s="1"/>
  <c r="F35" i="5"/>
  <c r="M39" i="6"/>
  <c r="C46" i="6"/>
  <c r="C47" i="6" s="1"/>
  <c r="D44" i="6"/>
  <c r="D45" i="6" s="1"/>
  <c r="W58" i="5"/>
  <c r="D35" i="5"/>
  <c r="F30" i="5"/>
  <c r="F42" i="5"/>
  <c r="E42" i="5"/>
  <c r="D42" i="5"/>
  <c r="H42" i="5"/>
  <c r="E30" i="5"/>
  <c r="C35" i="5"/>
  <c r="H35" i="5"/>
</calcChain>
</file>

<file path=xl/comments1.xml><?xml version="1.0" encoding="utf-8"?>
<comments xmlns="http://schemas.openxmlformats.org/spreadsheetml/2006/main">
  <authors>
    <author>Morozko</author>
    <author>Gena</author>
    <author>User</author>
  </authors>
  <commentList>
    <comment ref="Y3" authorId="0" shapeId="0">
      <text>
        <r>
          <rPr>
            <sz val="8"/>
            <color indexed="81"/>
            <rFont val="Tahoma"/>
            <family val="2"/>
            <charset val="204"/>
          </rPr>
          <t xml:space="preserve">без учета возможного забития
</t>
        </r>
      </text>
    </comment>
    <comment ref="E4" authorId="1" shapeId="0">
      <text>
        <r>
          <rPr>
            <sz val="8"/>
            <color indexed="81"/>
            <rFont val="Tahoma"/>
            <charset val="204"/>
          </rPr>
          <t xml:space="preserve">В дальнейшем будем просто умножать на 2, вместо Числокомб(2;1)
</t>
        </r>
      </text>
    </comment>
    <comment ref="S4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R5" authorId="1" shapeId="0">
      <text>
        <r>
          <rPr>
            <sz val="8"/>
            <color indexed="81"/>
            <rFont val="Tahoma"/>
            <family val="2"/>
            <charset val="204"/>
          </rPr>
          <t>х не К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6" authorId="2" shapeId="0">
      <text>
        <r>
          <rPr>
            <sz val="8"/>
            <color indexed="81"/>
            <rFont val="Tahoma"/>
            <family val="2"/>
            <charset val="204"/>
          </rPr>
          <t xml:space="preserve">Всего 7 раскладов
</t>
        </r>
      </text>
    </comment>
    <comment ref="E6" authorId="1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R6" authorId="1" shapeId="0">
      <text>
        <r>
          <rPr>
            <sz val="8"/>
            <color indexed="81"/>
            <rFont val="Tahoma"/>
            <family val="2"/>
            <charset val="204"/>
          </rPr>
          <t>х не Д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7" authorId="2" shapeId="0">
      <text>
        <r>
          <rPr>
            <sz val="8"/>
            <color indexed="81"/>
            <rFont val="Tahoma"/>
            <family val="2"/>
            <charset val="204"/>
          </rPr>
          <t xml:space="preserve">Всего 7 раскладов
</t>
        </r>
      </text>
    </comment>
    <comment ref="R7" authorId="1" shapeId="0">
      <text>
        <r>
          <rPr>
            <sz val="8"/>
            <color indexed="81"/>
            <rFont val="Tahoma"/>
            <family val="2"/>
            <charset val="204"/>
          </rPr>
          <t>х не К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8" authorId="2" shapeId="0">
      <text>
        <r>
          <rPr>
            <sz val="8"/>
            <color indexed="81"/>
            <rFont val="Tahoma"/>
            <family val="2"/>
            <charset val="204"/>
          </rPr>
          <t xml:space="preserve">Всего 7 раскладов
</t>
        </r>
      </text>
    </comment>
    <comment ref="S8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AB8" authorId="1" shapeId="0">
      <text>
        <r>
          <rPr>
            <sz val="8"/>
            <color indexed="81"/>
            <rFont val="Tahoma"/>
            <charset val="204"/>
          </rPr>
          <t xml:space="preserve">аналогичен 2.2
</t>
        </r>
      </text>
    </comment>
    <comment ref="AE8" authorId="1" shapeId="0">
      <text>
        <r>
          <rPr>
            <sz val="8"/>
            <color indexed="81"/>
            <rFont val="Tahoma"/>
            <charset val="204"/>
          </rPr>
          <t xml:space="preserve">аналогичен 2.2
</t>
        </r>
      </text>
    </comment>
    <comment ref="D9" authorId="2" shapeId="0">
      <text>
        <r>
          <rPr>
            <sz val="8"/>
            <color indexed="81"/>
            <rFont val="Tahoma"/>
            <family val="2"/>
            <charset val="204"/>
          </rPr>
          <t>=ЧИСЛКОМБ(3;3)*ЧИСЛКОМБ(5;3)+ЧИСЛКОМБ(1;1)*ЧИСЛКОМБ(2;1)*ЧИСЛКОМБ(5;4)
---
Всего 20 раскладов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9" authorId="1" shapeId="0">
      <text>
        <r>
          <rPr>
            <sz val="8"/>
            <color indexed="81"/>
            <rFont val="Tahoma"/>
            <family val="2"/>
            <charset val="204"/>
          </rPr>
          <t>789+1 из 4-х карт (10,В,Д,К)
7810+1 из 3-х карт (В,Д,К)
78В+1 из 2-х карт (Д,К)
7910+1 из 3-х карт (В,Д,К)
79В+1 из 2-х карт (Д,К)
------------------------------
Всего 14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T9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10" authorId="2" shapeId="0">
      <text>
        <r>
          <rPr>
            <sz val="8"/>
            <color indexed="81"/>
            <rFont val="Tahoma"/>
            <family val="2"/>
            <charset val="204"/>
          </rPr>
          <t>=ЧИСЛКОМБ(3;3)*ЧИСЛКОМБ(5;3)+ЧИСЛКОМБ(1;1)*ЧИСЛКОМБ(2;1)*ЧИСЛКОМБ(5;4)
---
Всего 20 раскладов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E10" authorId="1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11" authorId="2" shapeId="0">
      <text>
        <r>
          <rPr>
            <sz val="8"/>
            <color indexed="81"/>
            <rFont val="Tahoma"/>
            <family val="2"/>
            <charset val="204"/>
          </rPr>
          <t>=ЧИСЛКОМБ(3;3)*ЧИСЛКОМБ(5;3)+ЧИСЛКОМБ(1;1)*ЧИСЛКОМБ(2;1)*ЧИСЛКОМБ(5;4)
---
Всего 20 раскладов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D12" authorId="2" shapeId="0">
      <text>
        <r>
          <rPr>
            <sz val="8"/>
            <color indexed="81"/>
            <rFont val="Tahoma"/>
            <family val="2"/>
            <charset val="204"/>
          </rPr>
          <t>=ЧИСЛКОМБ(3;3)*ЧИСЛКОМБ(5;3)+ЧИСЛКОМБ(1;1)*ЧИСЛКОМБ(2;1)*ЧИСЛКОМБ(5;4)
---
Всего 20 раскладов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D13" authorId="1" shapeId="0">
      <text>
        <r>
          <rPr>
            <sz val="8"/>
            <color indexed="81"/>
            <rFont val="Tahoma"/>
            <family val="2"/>
            <charset val="204"/>
          </rPr>
          <t>(*) кроме ТКД</t>
        </r>
        <r>
          <rPr>
            <sz val="8"/>
            <color indexed="81"/>
            <rFont val="Tahoma"/>
            <charset val="204"/>
          </rPr>
          <t xml:space="preserve">
=ЧИСЛКОМБ(3;3)*ЧИСЛКОМБ(5;2)+ЧИСЛКОМБ(1;1)*ЧИСЛКОМБ(2;1)*(ЧИСЛКОМБ(5;3)-1))
---
Всего 28 раскладов</t>
        </r>
      </text>
    </comment>
    <comment ref="E13" authorId="1" shapeId="0">
      <text>
        <r>
          <rPr>
            <sz val="8"/>
            <color indexed="81"/>
            <rFont val="Tahoma"/>
            <family val="2"/>
            <charset val="204"/>
          </rPr>
          <t>(*) кроме ТКД</t>
        </r>
        <r>
          <rPr>
            <sz val="8"/>
            <color indexed="81"/>
            <rFont val="Tahoma"/>
            <charset val="204"/>
          </rPr>
          <t xml:space="preserve">
=ЧИСЛКОМБ(3;3)*ЧИСЛКОМБ(5;2)+ЧИСЛКОМБ(1;1)*ЧИСЛКОМБ(2;1)*(ЧИСЛКОМБ(5;3)-1))
---
Всего 28 раскладов</t>
        </r>
      </text>
    </comment>
    <comment ref="R13" authorId="1" shapeId="0">
      <text>
        <r>
          <rPr>
            <sz val="8"/>
            <color indexed="81"/>
            <rFont val="Tahoma"/>
            <family val="2"/>
            <charset val="204"/>
          </rPr>
          <t>х не 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14" authorId="1" shapeId="0">
      <text>
        <r>
          <rPr>
            <sz val="8"/>
            <color indexed="81"/>
            <rFont val="Tahoma"/>
            <family val="2"/>
            <charset val="204"/>
          </rPr>
          <t>(*) кроме ТКД</t>
        </r>
        <r>
          <rPr>
            <sz val="8"/>
            <color indexed="81"/>
            <rFont val="Tahoma"/>
            <charset val="204"/>
          </rPr>
          <t xml:space="preserve">
=ЧИСЛКОМБ(3;3)*ЧИСЛКОМБ(5;2)+ЧИСЛКОМБ(1;1)*ЧИСЛКОМБ(2;1)*(ЧИСЛКОМБ(5;3)-1))
---
Всего 28 раскладов</t>
        </r>
      </text>
    </comment>
    <comment ref="E14" authorId="1" shapeId="0">
      <text>
        <r>
          <rPr>
            <sz val="8"/>
            <color indexed="81"/>
            <rFont val="Tahoma"/>
            <family val="2"/>
            <charset val="204"/>
          </rPr>
          <t>789+1 из 4-х карт (10,В,Д,К)
7810+1 из 3-х карт (В,Д,К)
78В+1 из 2-х карт (Д,К)
7910+1 из 3-х карт (В,Д,К)
79В+1 из 2-х карт (Д,К)
------------------------------
Всего 14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S14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15" authorId="1" shapeId="0">
      <text>
        <r>
          <rPr>
            <sz val="8"/>
            <color indexed="81"/>
            <rFont val="Tahoma"/>
            <family val="2"/>
            <charset val="204"/>
          </rPr>
          <t>(*) кроме ТКД</t>
        </r>
        <r>
          <rPr>
            <sz val="8"/>
            <color indexed="81"/>
            <rFont val="Tahoma"/>
            <charset val="204"/>
          </rPr>
          <t xml:space="preserve">
=ЧИСЛКОМБ(3;3)*ЧИСЛКОМБ(5;2)+ЧИСЛКОМБ(1;1)*ЧИСЛКОМБ(2;1)*(ЧИСЛКОМБ(5;3)-1))
---
Всего 28 раскладов</t>
        </r>
      </text>
    </comment>
    <comment ref="E15" authorId="1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R15" authorId="1" shapeId="0">
      <text>
        <r>
          <rPr>
            <sz val="8"/>
            <color indexed="81"/>
            <rFont val="Tahoma"/>
            <family val="2"/>
            <charset val="204"/>
          </rPr>
          <t>х не Д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AB15" authorId="1" shapeId="0">
      <text>
        <r>
          <rPr>
            <sz val="8"/>
            <color indexed="81"/>
            <rFont val="Tahoma"/>
            <charset val="204"/>
          </rPr>
          <t xml:space="preserve">аналогичен 3.2
</t>
        </r>
      </text>
    </comment>
    <comment ref="AE15" authorId="1" shapeId="0">
      <text>
        <r>
          <rPr>
            <sz val="8"/>
            <color indexed="81"/>
            <rFont val="Tahoma"/>
            <charset val="204"/>
          </rPr>
          <t xml:space="preserve">аналогичен 3.2
</t>
        </r>
      </text>
    </comment>
    <comment ref="D16" authorId="1" shapeId="0">
      <text>
        <r>
          <rPr>
            <sz val="8"/>
            <color indexed="81"/>
            <rFont val="Tahoma"/>
            <family val="2"/>
            <charset val="204"/>
          </rPr>
          <t>(*) кроме ТКД</t>
        </r>
        <r>
          <rPr>
            <sz val="8"/>
            <color indexed="81"/>
            <rFont val="Tahoma"/>
            <charset val="204"/>
          </rPr>
          <t xml:space="preserve">
=ЧИСЛКОМБ(3;3)*ЧИСЛКОМБ(5;2)+ЧИСЛКОМБ(1;1)*ЧИСЛКОМБ(2;1)*(ЧИСЛКОМБ(5;3)-1))
---
Всего 28 раскладов</t>
        </r>
      </text>
    </comment>
    <comment ref="E16" authorId="1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S16" authorId="1" shapeId="0">
      <text>
        <r>
          <rPr>
            <sz val="8"/>
            <color indexed="81"/>
            <rFont val="Tahoma"/>
            <family val="2"/>
            <charset val="204"/>
          </rPr>
          <t>х не К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17" authorId="1" shapeId="0">
      <text>
        <r>
          <rPr>
            <sz val="8"/>
            <color indexed="81"/>
            <rFont val="Tahoma"/>
            <family val="2"/>
            <charset val="204"/>
          </rPr>
          <t>(*) кроме ТКД</t>
        </r>
        <r>
          <rPr>
            <sz val="8"/>
            <color indexed="81"/>
            <rFont val="Tahoma"/>
            <charset val="204"/>
          </rPr>
          <t xml:space="preserve">
=ЧИСЛКОМБ(3;3)*ЧИСЛКОМБ(5;2)+ЧИСЛКОМБ(1;1)*ЧИСЛКОМБ(2;1)*(ЧИСЛКОМБ(5;3)-1))
---
Всего 28 раскладов</t>
        </r>
      </text>
    </comment>
    <comment ref="T17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18" authorId="1" shapeId="0">
      <text>
        <r>
          <rPr>
            <sz val="8"/>
            <color indexed="81"/>
            <rFont val="Tahoma"/>
            <family val="2"/>
            <charset val="204"/>
          </rPr>
          <t>789+1 из 4-х карт (10,В,Д,К)
7810+1 из 3-х карт (В,Д,К)
78В+1 из 2-х карт (Д,К)
7910+1 из 3-х карт (В,Д,К)
79В+1 из 2-х карт (Д,К)
------------------------------
Всего 14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18" authorId="1" shapeId="0">
      <text>
        <r>
          <rPr>
            <sz val="8"/>
            <color indexed="81"/>
            <rFont val="Tahoma"/>
            <family val="2"/>
            <charset val="204"/>
          </rPr>
          <t>789+1 из 4-х карт (10,В,Д,К)
7810+1 из 3-х карт (В,Д,К)
78В+1 из 2-х карт (Д,К)
7910+1 из 3-х карт (В,Д,К)
79В+1 из 2-х карт (Д,К)
------------------------------
Всего 14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AB18" authorId="0" shapeId="0">
      <text>
        <r>
          <rPr>
            <sz val="8"/>
            <color indexed="81"/>
            <rFont val="Tahoma"/>
            <family val="2"/>
            <charset val="204"/>
          </rPr>
          <t xml:space="preserve">аналогичен 3.5
</t>
        </r>
      </text>
    </comment>
    <comment ref="AE18" authorId="0" shapeId="0">
      <text>
        <r>
          <rPr>
            <sz val="8"/>
            <color indexed="81"/>
            <rFont val="Tahoma"/>
            <family val="2"/>
            <charset val="204"/>
          </rPr>
          <t xml:space="preserve">аналогичен 3.5
</t>
        </r>
      </text>
    </comment>
    <comment ref="D19" authorId="1" shapeId="0">
      <text>
        <r>
          <rPr>
            <sz val="8"/>
            <color indexed="81"/>
            <rFont val="Tahoma"/>
            <family val="2"/>
            <charset val="204"/>
          </rPr>
          <t>789+1 из 4-х карт (10,В,Д,К)
7810+1 из 3-х карт (В,Д,К)
78В+1 из 2-х карт (Д,К)
7910+1 из 3-х карт (В,Д,К)
79В+1 из 2-х карт (Д,К)
------------------------------
Всего 14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19" authorId="1" shapeId="0">
      <text>
        <r>
          <rPr>
            <sz val="8"/>
            <color indexed="81"/>
            <rFont val="Tahoma"/>
            <family val="2"/>
            <charset val="204"/>
          </rPr>
          <t>789+1 из 4-х карт (10,В,Д,К)
7810+1 из 3-х карт (В,Д,К)
78В+1 из 2-х карт (Д,К)
7910+1 из 3-х карт (В,Д,К)
79В+1 из 2-х карт (Д,К)
------------------------------
Всего 14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20" authorId="1" shapeId="0">
      <text>
        <r>
          <rPr>
            <sz val="8"/>
            <color indexed="81"/>
            <rFont val="Tahoma"/>
            <family val="2"/>
            <charset val="204"/>
          </rPr>
          <t>789+1 из 4-х карт (10,В,Д,К)
7810+1 из 3-х карт (В,Д,К)
78В+1 из 2-х карт (Д,К)
7910+1 из 3-х карт (В,Д,К)
79В+1 из 2-х карт (Д,К)
------------------------------
Всего 14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20" authorId="1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F20" authorId="1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21" authorId="1" shapeId="0">
      <text>
        <r>
          <rPr>
            <sz val="8"/>
            <color indexed="81"/>
            <rFont val="Tahoma"/>
            <family val="2"/>
            <charset val="204"/>
          </rPr>
          <t>789+1 из 4-х карт (10,В,Д,К)
7810+1 из 3-х карт (В,Д,К)
78В+1 из 2-х карт (Д,К)
7910+1 из 3-х карт (В,Д,К)
79В+1 из 2-х карт (Д,К)
------------------------------
Всего 14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21" authorId="1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22" authorId="1" shapeId="0">
      <text>
        <r>
          <rPr>
            <sz val="8"/>
            <color indexed="81"/>
            <rFont val="Tahoma"/>
            <family val="2"/>
            <charset val="204"/>
          </rPr>
          <t>789+1 из 4-х карт (10,В,Д,К)
7810+1 из 3-х карт (В,Д,К)
78В+1 из 2-х карт (Д,К)
7910+1 из 3-х карт (В,Д,К)
79В+1 из 2-х карт (Д,К)
------------------------------
Всего 14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23" authorId="1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23" authorId="1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F23" authorId="1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24" authorId="1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24" authorId="1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S24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R25" authorId="1" shapeId="0">
      <text>
        <r>
          <rPr>
            <sz val="8"/>
            <color indexed="81"/>
            <rFont val="Tahoma"/>
            <family val="2"/>
            <charset val="204"/>
          </rPr>
          <t>х не 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AB25" authorId="1" shapeId="0">
      <text>
        <r>
          <rPr>
            <sz val="8"/>
            <color indexed="81"/>
            <rFont val="Tahoma"/>
            <charset val="204"/>
          </rPr>
          <t xml:space="preserve">аналогичен 4.2
</t>
        </r>
      </text>
    </comment>
    <comment ref="AE25" authorId="1" shapeId="0">
      <text>
        <r>
          <rPr>
            <sz val="8"/>
            <color indexed="81"/>
            <rFont val="Tahoma"/>
            <charset val="204"/>
          </rPr>
          <t xml:space="preserve">аналогичен 4.2
</t>
        </r>
      </text>
    </comment>
    <comment ref="S26" authorId="1" shapeId="0">
      <text>
        <r>
          <rPr>
            <sz val="8"/>
            <color indexed="81"/>
            <rFont val="Tahoma"/>
            <family val="2"/>
            <charset val="204"/>
          </rPr>
          <t>х не К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R27" authorId="1" shapeId="0">
      <text>
        <r>
          <rPr>
            <sz val="8"/>
            <color indexed="81"/>
            <rFont val="Tahoma"/>
            <family val="2"/>
            <charset val="204"/>
          </rPr>
          <t>х не Д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AB27" authorId="1" shapeId="0">
      <text>
        <r>
          <rPr>
            <sz val="8"/>
            <color indexed="81"/>
            <rFont val="Tahoma"/>
            <charset val="204"/>
          </rPr>
          <t xml:space="preserve">аналогичен 4.4
</t>
        </r>
      </text>
    </comment>
    <comment ref="AE27" authorId="1" shapeId="0">
      <text>
        <r>
          <rPr>
            <sz val="8"/>
            <color indexed="81"/>
            <rFont val="Tahoma"/>
            <charset val="204"/>
          </rPr>
          <t xml:space="preserve">аналогичен 4.4
</t>
        </r>
      </text>
    </comment>
    <comment ref="T28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R29" authorId="1" shapeId="0">
      <text>
        <r>
          <rPr>
            <sz val="8"/>
            <color indexed="81"/>
            <rFont val="Tahoma"/>
            <family val="2"/>
            <charset val="204"/>
          </rPr>
          <t>х не Д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AB29" authorId="1" shapeId="0">
      <text>
        <r>
          <rPr>
            <sz val="8"/>
            <color indexed="81"/>
            <rFont val="Tahoma"/>
            <charset val="204"/>
          </rPr>
          <t xml:space="preserve">аналогичен 4.6
</t>
        </r>
      </text>
    </comment>
    <comment ref="AE29" authorId="1" shapeId="0">
      <text>
        <r>
          <rPr>
            <sz val="8"/>
            <color indexed="81"/>
            <rFont val="Tahoma"/>
            <charset val="204"/>
          </rPr>
          <t xml:space="preserve">аналогичен 4.6
</t>
        </r>
      </text>
    </comment>
    <comment ref="T30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S31" authorId="1" shapeId="0">
      <text>
        <r>
          <rPr>
            <sz val="8"/>
            <color indexed="81"/>
            <rFont val="Tahoma"/>
            <family val="2"/>
            <charset val="204"/>
          </rPr>
          <t>х не К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S36" authorId="1" shapeId="0">
      <text>
        <r>
          <rPr>
            <sz val="8"/>
            <color indexed="81"/>
            <rFont val="Tahoma"/>
            <family val="2"/>
            <charset val="204"/>
          </rPr>
          <t>х не К</t>
        </r>
        <r>
          <rPr>
            <sz val="8"/>
            <color indexed="81"/>
            <rFont val="Tahoma"/>
            <charset val="204"/>
          </rPr>
          <t xml:space="preserve">
------------
Расклад (КД) не включен из-за угрозы подсада на "стене" в козырях при отсутствии контроля в 4-й масти
</t>
        </r>
      </text>
    </comment>
    <comment ref="AE36" authorId="2" shapeId="0">
      <text>
        <r>
          <rPr>
            <sz val="8"/>
            <color indexed="81"/>
            <rFont val="Tahoma"/>
            <family val="2"/>
            <charset val="204"/>
          </rPr>
          <t xml:space="preserve">Угроза подсада на "стене"
</t>
        </r>
      </text>
    </comment>
    <comment ref="T37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R38" authorId="1" shapeId="0">
      <text>
        <r>
          <rPr>
            <sz val="8"/>
            <color indexed="81"/>
            <rFont val="Tahoma"/>
            <family val="2"/>
            <charset val="204"/>
          </rPr>
          <t>х не В
------------
Расклады (КДВ10),
(ТКВ10) и (ТДВ10) не включены из-за угрозы подсада на "стене" в козырях при отсутствии контроля в 4-й масти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AB38" authorId="1" shapeId="0">
      <text>
        <r>
          <rPr>
            <sz val="8"/>
            <color indexed="81"/>
            <rFont val="Tahoma"/>
            <charset val="204"/>
          </rPr>
          <t xml:space="preserve">аналогичен 5.1
</t>
        </r>
      </text>
    </comment>
    <comment ref="AE38" authorId="1" shapeId="0">
      <text>
        <r>
          <rPr>
            <sz val="8"/>
            <color indexed="81"/>
            <rFont val="Tahoma"/>
            <charset val="204"/>
          </rPr>
          <t xml:space="preserve">аналогичен 5.1
</t>
        </r>
      </text>
    </comment>
    <comment ref="AB39" authorId="1" shapeId="0">
      <text>
        <r>
          <rPr>
            <sz val="8"/>
            <color indexed="81"/>
            <rFont val="Tahoma"/>
            <charset val="204"/>
          </rPr>
          <t xml:space="preserve">аналогичен 5.2
</t>
        </r>
      </text>
    </comment>
    <comment ref="AE39" authorId="1" shapeId="0">
      <text>
        <r>
          <rPr>
            <sz val="8"/>
            <color indexed="81"/>
            <rFont val="Tahoma"/>
            <charset val="204"/>
          </rPr>
          <t xml:space="preserve">аналогичен 5.2
</t>
        </r>
      </text>
    </comment>
    <comment ref="S40" authorId="1" shapeId="0">
      <text>
        <r>
          <rPr>
            <sz val="8"/>
            <color indexed="81"/>
            <rFont val="Tahoma"/>
            <family val="2"/>
            <charset val="204"/>
          </rPr>
          <t>х не Д
--------</t>
        </r>
        <r>
          <rPr>
            <sz val="8"/>
            <color indexed="81"/>
            <rFont val="Tahoma"/>
            <charset val="204"/>
          </rPr>
          <t xml:space="preserve">
Расклады (КДВ) и (ТДВ) не включены из-за угрозы подсада на "стене" в козырях при отсутствии контроля в 4-й масти</t>
        </r>
      </text>
    </comment>
    <comment ref="AE40" authorId="2" shapeId="0">
      <text>
        <r>
          <rPr>
            <sz val="8"/>
            <color indexed="81"/>
            <rFont val="Tahoma"/>
            <family val="2"/>
            <charset val="204"/>
          </rPr>
          <t xml:space="preserve">Угроза подсада на "стене"
</t>
        </r>
      </text>
    </comment>
    <comment ref="T41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C42" authorId="0" shapeId="0">
      <text>
        <r>
          <rPr>
            <sz val="8"/>
            <color indexed="81"/>
            <rFont val="Tahoma"/>
            <family val="2"/>
            <charset val="204"/>
          </rPr>
          <t xml:space="preserve">без учета комбинаций карт у оппонентов
</t>
        </r>
      </text>
    </comment>
    <comment ref="H42" authorId="1" shapeId="0">
      <text>
        <r>
          <rPr>
            <sz val="8"/>
            <color indexed="81"/>
            <rFont val="Tahoma"/>
            <family val="2"/>
            <charset val="204"/>
          </rPr>
          <t>За вычетом</t>
        </r>
        <r>
          <rPr>
            <b/>
            <sz val="8"/>
            <color indexed="10"/>
            <rFont val="Tahoma"/>
            <family val="2"/>
            <charset val="204"/>
          </rPr>
          <t xml:space="preserve"> макс.</t>
        </r>
        <r>
          <rPr>
            <sz val="8"/>
            <color indexed="81"/>
            <rFont val="Tahoma"/>
            <family val="2"/>
            <charset val="204"/>
          </rPr>
          <t xml:space="preserve">  Кол-ва 9-х и 10-х раскладов на оставшихся двух руках</t>
        </r>
      </text>
    </comment>
    <comment ref="S42" authorId="1" shapeId="0">
      <text>
        <r>
          <rPr>
            <sz val="8"/>
            <color indexed="81"/>
            <rFont val="Tahoma"/>
            <family val="2"/>
            <charset val="204"/>
          </rPr>
          <t>х не К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AB42" authorId="1" shapeId="0">
      <text>
        <r>
          <rPr>
            <sz val="8"/>
            <color indexed="81"/>
            <rFont val="Tahoma"/>
            <charset val="204"/>
          </rPr>
          <t xml:space="preserve">аналогичен 6.2
</t>
        </r>
      </text>
    </comment>
    <comment ref="AE42" authorId="1" shapeId="0">
      <text>
        <r>
          <rPr>
            <sz val="8"/>
            <color indexed="81"/>
            <rFont val="Tahoma"/>
            <charset val="204"/>
          </rPr>
          <t xml:space="preserve">аналогичен 6.2
</t>
        </r>
      </text>
    </comment>
    <comment ref="C43" authorId="0" shapeId="0">
      <text>
        <r>
          <rPr>
            <sz val="8"/>
            <color indexed="81"/>
            <rFont val="Tahoma"/>
            <family val="2"/>
            <charset val="204"/>
          </rPr>
          <t xml:space="preserve">без учета комбинаций карт у оппонентов
</t>
        </r>
      </text>
    </comment>
    <comment ref="Q43" authorId="1" shapeId="0">
      <text>
        <r>
          <rPr>
            <sz val="8"/>
            <color indexed="81"/>
            <rFont val="Tahoma"/>
            <family val="2"/>
            <charset val="204"/>
          </rPr>
          <t>х не В
------------
Расклады (КДВ10),
(ТКВ10) и (ТДВ10) не включены из-за угрозы подсада на "стене" в козырях при отсутствии контроля в 4-й масти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AB43" authorId="1" shapeId="0">
      <text>
        <r>
          <rPr>
            <sz val="8"/>
            <color indexed="81"/>
            <rFont val="Tahoma"/>
            <charset val="204"/>
          </rPr>
          <t xml:space="preserve">аналогичен 6.1
</t>
        </r>
      </text>
    </comment>
    <comment ref="AE43" authorId="1" shapeId="0">
      <text>
        <r>
          <rPr>
            <sz val="8"/>
            <color indexed="81"/>
            <rFont val="Tahoma"/>
            <charset val="204"/>
          </rPr>
          <t xml:space="preserve">аналогичен 6.1
</t>
        </r>
      </text>
    </comment>
    <comment ref="C44" authorId="0" shapeId="0">
      <text>
        <r>
          <rPr>
            <sz val="8"/>
            <color indexed="81"/>
            <rFont val="Tahoma"/>
            <family val="2"/>
            <charset val="204"/>
          </rPr>
          <t xml:space="preserve">без учета комбинаций карт у оппонентов
</t>
        </r>
      </text>
    </comment>
    <comment ref="AB44" authorId="1" shapeId="0">
      <text>
        <r>
          <rPr>
            <sz val="8"/>
            <color indexed="81"/>
            <rFont val="Tahoma"/>
            <charset val="204"/>
          </rPr>
          <t xml:space="preserve">аналогичен 6.2
</t>
        </r>
      </text>
    </comment>
    <comment ref="AE44" authorId="1" shapeId="0">
      <text>
        <r>
          <rPr>
            <sz val="8"/>
            <color indexed="81"/>
            <rFont val="Tahoma"/>
            <charset val="204"/>
          </rPr>
          <t xml:space="preserve">аналогичен 6.2
</t>
        </r>
      </text>
    </comment>
    <comment ref="T45" authorId="1" shapeId="0">
      <text>
        <r>
          <rPr>
            <sz val="8"/>
            <color indexed="81"/>
            <rFont val="Tahoma"/>
            <family val="2"/>
            <charset val="204"/>
          </rPr>
          <t>х не К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AB46" authorId="1" shapeId="0">
      <text>
        <r>
          <rPr>
            <sz val="8"/>
            <color indexed="81"/>
            <rFont val="Tahoma"/>
            <charset val="204"/>
          </rPr>
          <t xml:space="preserve">аналогичен 7.1
</t>
        </r>
      </text>
    </comment>
    <comment ref="AE46" authorId="1" shapeId="0">
      <text>
        <r>
          <rPr>
            <sz val="8"/>
            <color indexed="81"/>
            <rFont val="Tahoma"/>
            <charset val="204"/>
          </rPr>
          <t xml:space="preserve">аналогичен 7.1
</t>
        </r>
      </text>
    </comment>
    <comment ref="T47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S48" authorId="1" shapeId="0">
      <text>
        <r>
          <rPr>
            <sz val="8"/>
            <color indexed="81"/>
            <rFont val="Tahoma"/>
            <family val="2"/>
            <charset val="204"/>
          </rPr>
          <t>х не Д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AB48" authorId="1" shapeId="0">
      <text>
        <r>
          <rPr>
            <sz val="8"/>
            <color indexed="81"/>
            <rFont val="Tahoma"/>
            <charset val="204"/>
          </rPr>
          <t xml:space="preserve">аналогичен 8.1
</t>
        </r>
      </text>
    </comment>
    <comment ref="AE48" authorId="1" shapeId="0">
      <text>
        <r>
          <rPr>
            <sz val="8"/>
            <color indexed="81"/>
            <rFont val="Tahoma"/>
            <charset val="204"/>
          </rPr>
          <t xml:space="preserve">аналогичен 8.1
</t>
        </r>
      </text>
    </comment>
    <comment ref="T49" authorId="1" shapeId="0">
      <text>
        <r>
          <rPr>
            <sz val="8"/>
            <color indexed="81"/>
            <rFont val="Tahoma"/>
            <family val="2"/>
            <charset val="204"/>
          </rPr>
          <t>х не К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R50" authorId="1" shapeId="0">
      <text>
        <r>
          <rPr>
            <sz val="8"/>
            <color indexed="81"/>
            <rFont val="Tahoma"/>
            <family val="2"/>
            <charset val="204"/>
          </rPr>
          <t>х не Д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AB50" authorId="1" shapeId="0">
      <text>
        <r>
          <rPr>
            <sz val="8"/>
            <color indexed="81"/>
            <rFont val="Tahoma"/>
            <charset val="204"/>
          </rPr>
          <t xml:space="preserve">аналогичен 8.3
</t>
        </r>
      </text>
    </comment>
    <comment ref="AE50" authorId="1" shapeId="0">
      <text>
        <r>
          <rPr>
            <sz val="8"/>
            <color indexed="81"/>
            <rFont val="Tahoma"/>
            <charset val="204"/>
          </rPr>
          <t xml:space="preserve">аналогичен 8.3
</t>
        </r>
      </text>
    </comment>
  </commentList>
</comments>
</file>

<file path=xl/comments2.xml><?xml version="1.0" encoding="utf-8"?>
<comments xmlns="http://schemas.openxmlformats.org/spreadsheetml/2006/main">
  <authors>
    <author>Gena</author>
    <author>Михайлов</author>
  </authors>
  <commentList>
    <comment ref="E5" authorId="0" shapeId="0">
      <text>
        <r>
          <rPr>
            <sz val="8"/>
            <color indexed="81"/>
            <rFont val="Tahoma"/>
            <family val="2"/>
            <charset val="204"/>
          </rPr>
          <t>789+1 из 2-х карт (10,В)
7810В
7910В
------------------------------
Всего 4 варианта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6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7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9" authorId="0" shapeId="0">
      <text>
        <r>
          <rPr>
            <sz val="8"/>
            <color indexed="81"/>
            <rFont val="Tahoma"/>
            <family val="2"/>
            <charset val="204"/>
          </rPr>
          <t>789+1 из 2-х карт (10,В)
7810В
7910В
------------------------------
Всего 4 варианта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9" authorId="0" shapeId="0">
      <text>
        <r>
          <rPr>
            <sz val="8"/>
            <color indexed="81"/>
            <rFont val="Tahoma"/>
            <family val="2"/>
            <charset val="204"/>
          </rPr>
          <t>789+1 из 2-х карт (10,В)
7810В
7910В
------------------------------
Всего 4 варианта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10" authorId="0" shapeId="0">
      <text>
        <r>
          <rPr>
            <sz val="8"/>
            <color indexed="81"/>
            <rFont val="Tahoma"/>
            <family val="2"/>
            <charset val="204"/>
          </rPr>
          <t>789+1 из 2-х карт (10,В)
7810В
7910В
------------------------------
Всего 4 варианта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10" authorId="0" shapeId="0">
      <text>
        <r>
          <rPr>
            <sz val="8"/>
            <color indexed="81"/>
            <rFont val="Tahoma"/>
            <family val="2"/>
            <charset val="204"/>
          </rPr>
          <t>789+1 из 2-х карт (10,В)
7810В
7910В
------------------------------
Всего 4 варианта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11" authorId="0" shapeId="0">
      <text>
        <r>
          <rPr>
            <sz val="8"/>
            <color indexed="81"/>
            <rFont val="Tahoma"/>
            <family val="2"/>
            <charset val="204"/>
          </rPr>
          <t>789+1 из 2-х карт (10,В)
7810В
7910В
------------------------------
Всего 4 варианта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11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F11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12" authorId="0" shapeId="0">
      <text>
        <r>
          <rPr>
            <sz val="8"/>
            <color indexed="81"/>
            <rFont val="Tahoma"/>
            <family val="2"/>
            <charset val="204"/>
          </rPr>
          <t>789+1 из 2-х карт (10,В)
7810В
7910В
------------------------------
Всего 4 варианта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12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13" authorId="0" shapeId="0">
      <text>
        <r>
          <rPr>
            <sz val="8"/>
            <color indexed="81"/>
            <rFont val="Tahoma"/>
            <family val="2"/>
            <charset val="204"/>
          </rPr>
          <t>789+1 из 2-х карт (10,В)
7810В
7910В
------------------------------
Всего 4 варианта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14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14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F14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15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15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25" authorId="0" shapeId="0">
      <text>
        <r>
          <rPr>
            <sz val="8"/>
            <color indexed="81"/>
            <rFont val="Tahoma"/>
            <family val="2"/>
            <charset val="204"/>
          </rPr>
          <t>789+1 из 2-х карт (10,В)
7810В
7910В
------------------------------
Всего 4 варианта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F25" authorId="1" shapeId="0">
      <text>
        <r>
          <rPr>
            <sz val="9"/>
            <color indexed="81"/>
            <rFont val="Tahoma"/>
            <charset val="1"/>
          </rPr>
          <t xml:space="preserve">из 5
</t>
        </r>
      </text>
    </comment>
    <comment ref="E26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F26" authorId="1" shapeId="0">
      <text>
        <r>
          <rPr>
            <sz val="9"/>
            <color indexed="81"/>
            <rFont val="Tahoma"/>
            <family val="2"/>
            <charset val="204"/>
          </rPr>
          <t>Всего 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7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F27" authorId="1" shapeId="0">
      <text>
        <r>
          <rPr>
            <sz val="9"/>
            <color indexed="81"/>
            <rFont val="Tahoma"/>
            <charset val="1"/>
          </rPr>
          <t xml:space="preserve">из 5
</t>
        </r>
      </text>
    </comment>
    <comment ref="F28" authorId="1" shapeId="0">
      <text>
        <r>
          <rPr>
            <sz val="9"/>
            <color indexed="81"/>
            <rFont val="Tahoma"/>
            <family val="2"/>
            <charset val="204"/>
          </rPr>
          <t>Всего 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9" authorId="1" shapeId="0">
      <text>
        <r>
          <rPr>
            <sz val="9"/>
            <color indexed="81"/>
            <rFont val="Tahoma"/>
            <family val="2"/>
            <charset val="204"/>
          </rPr>
          <t>Всего 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0" authorId="0" shapeId="0">
      <text>
        <r>
          <rPr>
            <sz val="8"/>
            <color indexed="81"/>
            <rFont val="Tahoma"/>
            <family val="2"/>
            <charset val="204"/>
          </rPr>
          <t>789+1 из 2-х карт (10,В)
7810В
7910В
------------------------------
Всего 4 варианта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30" authorId="0" shapeId="0">
      <text>
        <r>
          <rPr>
            <sz val="8"/>
            <color indexed="81"/>
            <rFont val="Tahoma"/>
            <family val="2"/>
            <charset val="204"/>
          </rPr>
          <t>789+1 из 2-х карт (10,В)
7810В
7910В
------------------------------
Всего 4 варианта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F30" authorId="1" shapeId="0">
      <text>
        <r>
          <rPr>
            <sz val="9"/>
            <color indexed="81"/>
            <rFont val="Tahoma"/>
            <family val="2"/>
            <charset val="204"/>
          </rPr>
          <t>Всего 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1" authorId="0" shapeId="0">
      <text>
        <r>
          <rPr>
            <sz val="8"/>
            <color indexed="81"/>
            <rFont val="Tahoma"/>
            <family val="2"/>
            <charset val="204"/>
          </rPr>
          <t>789+1 из 2-х карт (10,В)
7810В
7910В
------------------------------
Всего 4 варианта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31" authorId="0" shapeId="0">
      <text>
        <r>
          <rPr>
            <sz val="8"/>
            <color indexed="81"/>
            <rFont val="Tahoma"/>
            <family val="2"/>
            <charset val="204"/>
          </rPr>
          <t>789+1 из 2-х карт (10,В)
7810В
7910В
------------------------------
Всего 4 варианта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F31" authorId="1" shapeId="0">
      <text>
        <r>
          <rPr>
            <sz val="9"/>
            <color indexed="81"/>
            <rFont val="Tahoma"/>
            <charset val="1"/>
          </rPr>
          <t xml:space="preserve">из 5
</t>
        </r>
      </text>
    </comment>
    <comment ref="D32" authorId="0" shapeId="0">
      <text>
        <r>
          <rPr>
            <sz val="8"/>
            <color indexed="81"/>
            <rFont val="Tahoma"/>
            <family val="2"/>
            <charset val="204"/>
          </rPr>
          <t>789+1 из 2-х карт (10,В)
7810В
7910В
------------------------------
Всего 4 варианта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32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F32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33" authorId="0" shapeId="0">
      <text>
        <r>
          <rPr>
            <sz val="8"/>
            <color indexed="81"/>
            <rFont val="Tahoma"/>
            <family val="2"/>
            <charset val="204"/>
          </rPr>
          <t>789+1 из 2-х карт (10,В)
7810В
7910В
------------------------------
Всего 4 варианта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33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34" authorId="0" shapeId="0">
      <text>
        <r>
          <rPr>
            <sz val="8"/>
            <color indexed="81"/>
            <rFont val="Tahoma"/>
            <family val="2"/>
            <charset val="204"/>
          </rPr>
          <t>789+1 из 2-х карт (10,В)
7810В
7910В
------------------------------
Всего 4 варианта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34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G34" authorId="1" shapeId="0">
      <text>
        <r>
          <rPr>
            <sz val="9"/>
            <color indexed="81"/>
            <rFont val="Tahoma"/>
            <family val="2"/>
            <charset val="204"/>
          </rPr>
          <t>Всего 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5" authorId="0" shapeId="0">
      <text>
        <r>
          <rPr>
            <sz val="8"/>
            <color indexed="81"/>
            <rFont val="Tahoma"/>
            <family val="2"/>
            <charset val="204"/>
          </rPr>
          <t>789+1 из 2-х карт (10,В)
7810В
7910В
------------------------------
Всего 4 варианта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F35" authorId="1" shapeId="0">
      <text>
        <r>
          <rPr>
            <sz val="9"/>
            <color indexed="81"/>
            <rFont val="Tahoma"/>
            <family val="2"/>
            <charset val="204"/>
          </rPr>
          <t>Всего 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6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36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F36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G36" authorId="1" shapeId="0">
      <text>
        <r>
          <rPr>
            <sz val="9"/>
            <color indexed="81"/>
            <rFont val="Tahoma"/>
            <charset val="1"/>
          </rPr>
          <t xml:space="preserve">из 5
</t>
        </r>
      </text>
    </comment>
    <comment ref="D37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37" authorId="0" shapeId="0">
      <text>
        <r>
          <rPr>
            <sz val="8"/>
            <color indexed="81"/>
            <rFont val="Tahoma"/>
            <family val="2"/>
            <charset val="204"/>
          </rPr>
          <t>78+1 из 3-х карт (9,10,В)
79+1 из 2-х карт (10,В)
------------------------------
Всего 5 вариантов раскладов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F37" authorId="1" shapeId="0">
      <text>
        <r>
          <rPr>
            <sz val="9"/>
            <color indexed="81"/>
            <rFont val="Tahoma"/>
            <family val="2"/>
            <charset val="204"/>
          </rPr>
          <t>Всего 4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Morozko</author>
    <author>Gena</author>
    <author>Dima</author>
  </authors>
  <commentList>
    <comment ref="J4" authorId="0" shapeId="0">
      <text>
        <r>
          <rPr>
            <i/>
            <u/>
            <sz val="9"/>
            <color indexed="81"/>
            <rFont val="Tahoma"/>
            <family val="2"/>
            <charset val="204"/>
          </rPr>
          <t xml:space="preserve">При этом расклад :
</t>
        </r>
        <r>
          <rPr>
            <b/>
            <sz val="9"/>
            <color indexed="81"/>
            <rFont val="Tahoma"/>
            <family val="2"/>
            <charset val="204"/>
          </rPr>
          <t xml:space="preserve">ТКВ987_КДВ10_---_---  </t>
        </r>
        <r>
          <rPr>
            <sz val="9"/>
            <color indexed="81"/>
            <rFont val="Tahoma"/>
            <family val="2"/>
            <charset val="204"/>
          </rPr>
          <t xml:space="preserve">(=1*1*2) </t>
        </r>
        <r>
          <rPr>
            <b/>
            <u/>
            <sz val="9"/>
            <color indexed="81"/>
            <rFont val="Tahoma"/>
            <family val="2"/>
            <charset val="204"/>
          </rPr>
          <t>автоматически</t>
        </r>
        <r>
          <rPr>
            <b/>
            <sz val="9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 xml:space="preserve">будет учтен в Ячейке </t>
        </r>
        <r>
          <rPr>
            <b/>
            <sz val="9"/>
            <color indexed="81"/>
            <rFont val="Tahoma"/>
            <family val="2"/>
            <charset val="204"/>
          </rPr>
          <t xml:space="preserve">J85 </t>
        </r>
        <r>
          <rPr>
            <sz val="9"/>
            <color indexed="81"/>
            <rFont val="Tahoma"/>
            <family val="2"/>
            <charset val="204"/>
          </rPr>
          <t xml:space="preserve">при учете расклада:
</t>
        </r>
        <r>
          <rPr>
            <b/>
            <sz val="9"/>
            <color indexed="81"/>
            <rFont val="Tahoma"/>
            <family val="2"/>
            <charset val="204"/>
          </rPr>
          <t>0_Т7_ТКДВ_ТКДВ</t>
        </r>
        <r>
          <rPr>
            <sz val="9"/>
            <color indexed="81"/>
            <rFont val="Tahoma"/>
            <family val="2"/>
            <charset val="204"/>
          </rPr>
          <t xml:space="preserve"> 
</t>
        </r>
      </text>
    </comment>
    <comment ref="J5" authorId="0" shapeId="0">
      <text>
        <r>
          <rPr>
            <i/>
            <u/>
            <sz val="9"/>
            <color indexed="81"/>
            <rFont val="Tahoma"/>
            <family val="2"/>
            <charset val="204"/>
          </rPr>
          <t xml:space="preserve">При этом расклады :
</t>
        </r>
        <r>
          <rPr>
            <b/>
            <sz val="9"/>
            <color indexed="81"/>
            <rFont val="Tahoma"/>
            <family val="2"/>
            <charset val="204"/>
          </rPr>
          <t xml:space="preserve">ТКВ987_---_ТКДВ_--- </t>
        </r>
        <r>
          <rPr>
            <sz val="9"/>
            <color indexed="81"/>
            <rFont val="Tahoma"/>
            <family val="2"/>
            <charset val="204"/>
          </rPr>
          <t xml:space="preserve">и </t>
        </r>
        <r>
          <rPr>
            <b/>
            <sz val="9"/>
            <color indexed="81"/>
            <rFont val="Tahoma"/>
            <family val="2"/>
            <charset val="204"/>
          </rPr>
          <t>ТКВ987_---_---_ТКДВ</t>
        </r>
        <r>
          <rPr>
            <sz val="9"/>
            <color indexed="81"/>
            <rFont val="Tahoma"/>
            <family val="2"/>
            <charset val="204"/>
          </rPr>
          <t xml:space="preserve"> (=1*2*2) 
</t>
        </r>
        <r>
          <rPr>
            <b/>
            <u/>
            <sz val="9"/>
            <color indexed="81"/>
            <rFont val="Tahoma"/>
            <family val="2"/>
            <charset val="204"/>
          </rPr>
          <t>автоматически</t>
        </r>
        <r>
          <rPr>
            <sz val="9"/>
            <color indexed="81"/>
            <rFont val="Tahoma"/>
            <family val="2"/>
            <charset val="204"/>
          </rPr>
          <t xml:space="preserve"> будут учтены в Ячейке </t>
        </r>
        <r>
          <rPr>
            <b/>
            <sz val="9"/>
            <color indexed="81"/>
            <rFont val="Tahoma"/>
            <family val="2"/>
            <charset val="204"/>
          </rPr>
          <t xml:space="preserve">J6 </t>
        </r>
        <r>
          <rPr>
            <sz val="9"/>
            <color indexed="81"/>
            <rFont val="Tahoma"/>
            <family val="2"/>
            <charset val="204"/>
          </rPr>
          <t xml:space="preserve">при учете раскладов:
</t>
        </r>
        <r>
          <rPr>
            <b/>
            <sz val="9"/>
            <color indexed="81"/>
            <rFont val="Tahoma"/>
            <family val="2"/>
            <charset val="204"/>
          </rPr>
          <t xml:space="preserve">0_6_4_0 </t>
        </r>
        <r>
          <rPr>
            <sz val="9"/>
            <color indexed="81"/>
            <rFont val="Tahoma"/>
            <family val="2"/>
            <charset val="204"/>
          </rPr>
          <t>и</t>
        </r>
        <r>
          <rPr>
            <b/>
            <sz val="9"/>
            <color indexed="81"/>
            <rFont val="Tahoma"/>
            <family val="2"/>
            <charset val="204"/>
          </rPr>
          <t xml:space="preserve"> 0_6_0_4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Д
</t>
        </r>
      </text>
    </comment>
    <comment ref="J10" authorId="0" shapeId="0">
      <text>
        <r>
          <rPr>
            <i/>
            <u/>
            <sz val="9"/>
            <color indexed="81"/>
            <rFont val="Tahoma"/>
            <family val="2"/>
            <charset val="204"/>
          </rPr>
          <t xml:space="preserve">При этом расклады :
</t>
        </r>
        <r>
          <rPr>
            <b/>
            <sz val="9"/>
            <color indexed="81"/>
            <rFont val="Tahoma"/>
            <family val="2"/>
            <charset val="204"/>
          </rPr>
          <t>ТКВ987_х(не Т,К,Д)_0_ТКД</t>
        </r>
        <r>
          <rPr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 xml:space="preserve">ТКВ987_х(не Т,К,Д)_ТКД_0 </t>
        </r>
        <r>
          <rPr>
            <sz val="9"/>
            <color indexed="81"/>
            <rFont val="Tahoma"/>
            <family val="2"/>
            <charset val="204"/>
          </rPr>
          <t xml:space="preserve">(=3*2*2) 
</t>
        </r>
        <r>
          <rPr>
            <b/>
            <u/>
            <sz val="9"/>
            <color indexed="81"/>
            <rFont val="Tahoma"/>
            <family val="2"/>
            <charset val="204"/>
          </rPr>
          <t>автоматически</t>
        </r>
        <r>
          <rPr>
            <sz val="9"/>
            <color indexed="81"/>
            <rFont val="Tahoma"/>
            <family val="2"/>
            <charset val="204"/>
          </rPr>
          <t xml:space="preserve"> будут учтены в Ячейке </t>
        </r>
        <r>
          <rPr>
            <b/>
            <sz val="9"/>
            <color indexed="81"/>
            <rFont val="Tahoma"/>
            <family val="2"/>
            <charset val="204"/>
          </rPr>
          <t xml:space="preserve">J44 </t>
        </r>
        <r>
          <rPr>
            <sz val="9"/>
            <color indexed="81"/>
            <rFont val="Tahoma"/>
            <family val="2"/>
            <charset val="204"/>
          </rPr>
          <t xml:space="preserve">при учете раскладов:
</t>
        </r>
        <r>
          <rPr>
            <b/>
            <sz val="9"/>
            <color indexed="81"/>
            <rFont val="Tahoma"/>
            <family val="2"/>
            <charset val="204"/>
          </rPr>
          <t xml:space="preserve">0_ТКДxx_ТКДВ_В </t>
        </r>
        <r>
          <rPr>
            <sz val="9"/>
            <color indexed="81"/>
            <rFont val="Tahoma"/>
            <family val="2"/>
            <charset val="204"/>
          </rPr>
          <t>и</t>
        </r>
        <r>
          <rPr>
            <b/>
            <sz val="9"/>
            <color indexed="81"/>
            <rFont val="Tahoma"/>
            <family val="2"/>
            <charset val="204"/>
          </rPr>
          <t xml:space="preserve"> 0_ТКДxx_В_ТКДВ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Д
</t>
        </r>
      </text>
    </comment>
    <comment ref="J11" authorId="0" shapeId="0">
      <text>
        <r>
          <rPr>
            <i/>
            <u/>
            <sz val="9"/>
            <color indexed="81"/>
            <rFont val="Tahoma"/>
            <family val="2"/>
            <charset val="204"/>
          </rPr>
          <t xml:space="preserve">При этом расклады :
</t>
        </r>
        <r>
          <rPr>
            <b/>
            <sz val="9"/>
            <color indexed="81"/>
            <rFont val="Tahoma"/>
            <family val="2"/>
            <charset val="204"/>
          </rPr>
          <t>ТКВ987_Т_0_КДВ</t>
        </r>
        <r>
          <rPr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ТКВ987_Т_КДВ_0</t>
        </r>
        <r>
          <rPr>
            <sz val="9"/>
            <color indexed="81"/>
            <rFont val="Tahoma"/>
            <family val="2"/>
            <charset val="204"/>
          </rPr>
          <t xml:space="preserve"> (=1*2*2) 
</t>
        </r>
        <r>
          <rPr>
            <b/>
            <u/>
            <sz val="9"/>
            <color indexed="81"/>
            <rFont val="Tahoma"/>
            <family val="2"/>
            <charset val="204"/>
          </rPr>
          <t>автоматически</t>
        </r>
        <r>
          <rPr>
            <sz val="9"/>
            <color indexed="81"/>
            <rFont val="Tahoma"/>
            <family val="2"/>
            <charset val="204"/>
          </rPr>
          <t xml:space="preserve"> будут учтены в Ячейке </t>
        </r>
        <r>
          <rPr>
            <b/>
            <sz val="9"/>
            <color indexed="81"/>
            <rFont val="Tahoma"/>
            <family val="2"/>
            <charset val="204"/>
          </rPr>
          <t>J45</t>
        </r>
        <r>
          <rPr>
            <sz val="9"/>
            <color indexed="81"/>
            <rFont val="Tahoma"/>
            <family val="2"/>
            <charset val="204"/>
          </rPr>
          <t xml:space="preserve"> при учете раскладов:
</t>
        </r>
        <r>
          <rPr>
            <b/>
            <sz val="9"/>
            <color indexed="81"/>
            <rFont val="Tahoma"/>
            <family val="2"/>
            <charset val="204"/>
          </rPr>
          <t xml:space="preserve">0_КДВ107_Т_ТКДВ </t>
        </r>
        <r>
          <rPr>
            <sz val="9"/>
            <color indexed="81"/>
            <rFont val="Tahoma"/>
            <family val="2"/>
            <charset val="204"/>
          </rPr>
          <t>и</t>
        </r>
        <r>
          <rPr>
            <b/>
            <sz val="9"/>
            <color indexed="81"/>
            <rFont val="Tahoma"/>
            <family val="2"/>
            <charset val="204"/>
          </rPr>
          <t xml:space="preserve"> 0_КДВ107_ТКДВ_Т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Д
</t>
        </r>
      </text>
    </comment>
    <comment ref="J13" authorId="0" shapeId="0">
      <text>
        <r>
          <rPr>
            <i/>
            <u/>
            <sz val="9"/>
            <color indexed="81"/>
            <rFont val="Tahoma"/>
            <family val="2"/>
            <charset val="204"/>
          </rPr>
          <t xml:space="preserve">При этом расклады :
</t>
        </r>
        <r>
          <rPr>
            <b/>
            <sz val="9"/>
            <color indexed="81"/>
            <rFont val="Tahoma"/>
            <family val="2"/>
            <charset val="204"/>
          </rPr>
          <t>ТКВ987_---_ТКД_В</t>
        </r>
        <r>
          <rPr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ТКВ987_---_В_ТКД</t>
        </r>
        <r>
          <rPr>
            <sz val="9"/>
            <color indexed="81"/>
            <rFont val="Tahoma"/>
            <family val="2"/>
            <charset val="204"/>
          </rPr>
          <t xml:space="preserve"> (=1*2*2) 
</t>
        </r>
        <r>
          <rPr>
            <b/>
            <u/>
            <sz val="9"/>
            <color indexed="81"/>
            <rFont val="Tahoma"/>
            <family val="2"/>
            <charset val="204"/>
          </rPr>
          <t>автоматически</t>
        </r>
        <r>
          <rPr>
            <sz val="9"/>
            <color indexed="81"/>
            <rFont val="Tahoma"/>
            <family val="2"/>
            <charset val="204"/>
          </rPr>
          <t xml:space="preserve"> будут учтены в Ячейке </t>
        </r>
        <r>
          <rPr>
            <b/>
            <sz val="9"/>
            <color indexed="81"/>
            <rFont val="Tahoma"/>
            <family val="2"/>
            <charset val="204"/>
          </rPr>
          <t>J18</t>
        </r>
        <r>
          <rPr>
            <sz val="9"/>
            <color indexed="81"/>
            <rFont val="Tahoma"/>
            <family val="2"/>
            <charset val="204"/>
          </rPr>
          <t xml:space="preserve"> при учете раскладов:
</t>
        </r>
        <r>
          <rPr>
            <b/>
            <sz val="9"/>
            <color indexed="81"/>
            <rFont val="Tahoma"/>
            <family val="2"/>
            <charset val="204"/>
          </rPr>
          <t xml:space="preserve">0_6_ТКД_В </t>
        </r>
        <r>
          <rPr>
            <sz val="9"/>
            <color indexed="81"/>
            <rFont val="Tahoma"/>
            <family val="2"/>
            <charset val="204"/>
          </rPr>
          <t>и</t>
        </r>
        <r>
          <rPr>
            <b/>
            <sz val="9"/>
            <color indexed="81"/>
            <rFont val="Tahoma"/>
            <family val="2"/>
            <charset val="204"/>
          </rPr>
          <t xml:space="preserve"> 0_6_В_ТКД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Д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Д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F25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G28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29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G33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34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F35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J37" authorId="0" shapeId="0">
      <text>
        <r>
          <rPr>
            <i/>
            <u/>
            <sz val="9"/>
            <color indexed="81"/>
            <rFont val="Tahoma"/>
            <family val="2"/>
            <charset val="204"/>
          </rPr>
          <t xml:space="preserve">При этом расклад :
</t>
        </r>
        <r>
          <rPr>
            <b/>
            <sz val="9"/>
            <color indexed="81"/>
            <rFont val="Tahoma"/>
            <family val="2"/>
            <charset val="204"/>
          </rPr>
          <t>ТКххх_КДВ107_---_---</t>
        </r>
        <r>
          <rPr>
            <sz val="9"/>
            <color indexed="81"/>
            <rFont val="Tahoma"/>
            <family val="2"/>
            <charset val="204"/>
          </rPr>
          <t xml:space="preserve">  (=4*1*2) </t>
        </r>
        <r>
          <rPr>
            <b/>
            <u/>
            <sz val="9"/>
            <color indexed="81"/>
            <rFont val="Tahoma"/>
            <family val="2"/>
            <charset val="204"/>
          </rPr>
          <t>автоматически</t>
        </r>
        <r>
          <rPr>
            <sz val="9"/>
            <color indexed="81"/>
            <rFont val="Tahoma"/>
            <family val="2"/>
            <charset val="204"/>
          </rPr>
          <t xml:space="preserve"> будет учтен в Ячейке </t>
        </r>
        <r>
          <rPr>
            <b/>
            <sz val="9"/>
            <color indexed="81"/>
            <rFont val="Tahoma"/>
            <family val="2"/>
            <charset val="204"/>
          </rPr>
          <t xml:space="preserve">J86 </t>
        </r>
        <r>
          <rPr>
            <sz val="9"/>
            <color indexed="81"/>
            <rFont val="Tahoma"/>
            <family val="2"/>
            <charset val="204"/>
          </rPr>
          <t xml:space="preserve">при учете расклада:
</t>
        </r>
        <r>
          <rPr>
            <b/>
            <sz val="9"/>
            <color indexed="81"/>
            <rFont val="Tahoma"/>
            <family val="2"/>
            <charset val="204"/>
          </rPr>
          <t>х_Т_ТКДВ_ТКДВ</t>
        </r>
      </text>
    </comment>
    <comment ref="D42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G44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F50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Д
</t>
        </r>
      </text>
    </comment>
    <comment ref="D52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F53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Д
</t>
        </r>
      </text>
    </comment>
    <comment ref="G54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D59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G60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F61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Д
</t>
        </r>
      </text>
    </comment>
    <comment ref="D65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F66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G67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69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F70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D77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G79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D81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G83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86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G94" authorId="1" shapeId="0">
      <text>
        <r>
          <rPr>
            <sz val="8"/>
            <color indexed="81"/>
            <rFont val="Tahoma"/>
            <family val="2"/>
            <charset val="204"/>
          </rPr>
          <t>х не Д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97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F99" authorId="1" shapeId="0">
      <text>
        <r>
          <rPr>
            <sz val="8"/>
            <color indexed="81"/>
            <rFont val="Tahoma"/>
            <family val="2"/>
            <charset val="204"/>
          </rPr>
          <t>х не Д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G100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101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Т
</t>
        </r>
      </text>
    </comment>
    <comment ref="F103" authorId="1" shapeId="0">
      <text>
        <r>
          <rPr>
            <sz val="8"/>
            <color indexed="81"/>
            <rFont val="Tahoma"/>
            <family val="2"/>
            <charset val="204"/>
          </rPr>
          <t>х не Д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G104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G107" authorId="1" shapeId="0">
      <text>
        <r>
          <rPr>
            <sz val="8"/>
            <color indexed="81"/>
            <rFont val="Tahoma"/>
            <family val="2"/>
            <charset val="204"/>
          </rPr>
          <t>х не Д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109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Т
</t>
        </r>
      </text>
    </comment>
    <comment ref="E110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D112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E113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Т
</t>
        </r>
      </text>
    </comment>
    <comment ref="E117" authorId="1" shapeId="0">
      <text>
        <r>
          <rPr>
            <sz val="8"/>
            <color indexed="81"/>
            <rFont val="Tahoma"/>
            <family val="2"/>
            <charset val="204"/>
          </rPr>
          <t>х не Д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G118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D1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E121" authorId="1" shapeId="0">
      <text>
        <r>
          <rPr>
            <sz val="8"/>
            <color indexed="81"/>
            <rFont val="Tahoma"/>
            <family val="2"/>
            <charset val="204"/>
          </rPr>
          <t>х не Д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124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E125" authorId="2" shapeId="0">
      <text>
        <r>
          <rPr>
            <sz val="9"/>
            <color indexed="81"/>
            <rFont val="Tahoma"/>
            <family val="2"/>
            <charset val="204"/>
          </rPr>
          <t xml:space="preserve">xx не ДВ
</t>
        </r>
      </text>
    </comment>
    <comment ref="F126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D128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E129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G130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D134" authorId="1" shapeId="0">
      <text>
        <r>
          <rPr>
            <sz val="8"/>
            <color indexed="81"/>
            <rFont val="Tahoma"/>
            <family val="2"/>
            <charset val="204"/>
          </rPr>
          <t>не 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135" authorId="1" shapeId="0">
      <text>
        <r>
          <rPr>
            <sz val="8"/>
            <color indexed="81"/>
            <rFont val="Tahoma"/>
            <family val="2"/>
            <charset val="204"/>
          </rPr>
          <t>х не Д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F136" authorId="1" shapeId="0">
      <text>
        <r>
          <rPr>
            <sz val="8"/>
            <color indexed="81"/>
            <rFont val="Tahoma"/>
            <family val="2"/>
            <charset val="204"/>
          </rPr>
          <t>х не Д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142" authorId="0" shapeId="0">
      <text>
        <r>
          <rPr>
            <sz val="9"/>
            <color indexed="81"/>
            <rFont val="Tahoma"/>
            <family val="2"/>
            <charset val="204"/>
          </rPr>
          <t xml:space="preserve">х не К
</t>
        </r>
      </text>
    </comment>
    <comment ref="F143" authorId="1" shapeId="0">
      <text>
        <r>
          <rPr>
            <sz val="8"/>
            <color indexed="81"/>
            <rFont val="Tahoma"/>
            <family val="2"/>
            <charset val="204"/>
          </rPr>
          <t>х не Д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<sst xmlns="http://schemas.openxmlformats.org/spreadsheetml/2006/main" count="1383" uniqueCount="381">
  <si>
    <t>Тип расклада</t>
  </si>
  <si>
    <t>1-я масть</t>
  </si>
  <si>
    <t>2-я масть</t>
  </si>
  <si>
    <t>3-я масть</t>
  </si>
  <si>
    <t>4-я масть</t>
  </si>
  <si>
    <t>ТКДВ10987</t>
  </si>
  <si>
    <t>---</t>
  </si>
  <si>
    <t>Число комбинаций распределения 
расклада по мастям</t>
  </si>
  <si>
    <t>Общее количество 
раскладов для всех мастей</t>
  </si>
  <si>
    <t>Номер 
расклада</t>
  </si>
  <si>
    <t>1.1</t>
  </si>
  <si>
    <t>1.2</t>
  </si>
  <si>
    <t>2.3</t>
  </si>
  <si>
    <t>2.1</t>
  </si>
  <si>
    <t>2.2</t>
  </si>
  <si>
    <t>2.4</t>
  </si>
  <si>
    <t>7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</si>
  <si>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</si>
  <si>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</si>
  <si>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</si>
  <si>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</si>
  <si>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</si>
  <si>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</si>
  <si>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</si>
  <si>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</si>
  <si>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</si>
  <si>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</si>
  <si>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</si>
  <si>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</si>
  <si>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</si>
  <si>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</si>
  <si>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</si>
  <si>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r>
      <t>7</t>
    </r>
    <r>
      <rPr>
        <sz val="10"/>
        <rFont val="Arial Cyr"/>
        <charset val="204"/>
      </rPr>
      <t>+хххххх</t>
    </r>
  </si>
  <si>
    <r>
      <t>789</t>
    </r>
    <r>
      <rPr>
        <sz val="10"/>
        <rFont val="Arial Cyr"/>
        <charset val="204"/>
      </rPr>
      <t>+хх 
(</t>
    </r>
    <r>
      <rPr>
        <sz val="10"/>
        <color indexed="10"/>
        <rFont val="Arial Cyr"/>
        <charset val="204"/>
      </rPr>
      <t>78</t>
    </r>
    <r>
      <rPr>
        <sz val="10"/>
        <rFont val="Arial Cyr"/>
        <charset val="204"/>
      </rPr>
      <t>(9)+ххх(*))</t>
    </r>
  </si>
  <si>
    <r>
      <t>7</t>
    </r>
    <r>
      <rPr>
        <sz val="10"/>
        <rFont val="Arial Cyr"/>
        <charset val="204"/>
      </rPr>
      <t>+3 карты</t>
    </r>
  </si>
  <si>
    <r>
      <t>7</t>
    </r>
    <r>
      <rPr>
        <sz val="10"/>
        <rFont val="Arial Cyr"/>
        <charset val="204"/>
      </rPr>
      <t>+2 карты</t>
    </r>
  </si>
  <si>
    <r>
      <t>78</t>
    </r>
    <r>
      <rPr>
        <sz val="10"/>
        <rFont val="Arial Cyr"/>
        <charset val="204"/>
      </rPr>
      <t>(9)</t>
    </r>
  </si>
  <si>
    <t>6.2</t>
  </si>
  <si>
    <t>Т</t>
  </si>
  <si>
    <t>х</t>
  </si>
  <si>
    <t>КД</t>
  </si>
  <si>
    <t>ТК</t>
  </si>
  <si>
    <t>2.5</t>
  </si>
  <si>
    <t>2.6</t>
  </si>
  <si>
    <t>2.7</t>
  </si>
  <si>
    <t>ТКД</t>
  </si>
  <si>
    <t>КДВ10987</t>
  </si>
  <si>
    <t>3.5</t>
  </si>
  <si>
    <t>3.6</t>
  </si>
  <si>
    <t>3.7</t>
  </si>
  <si>
    <t>3.8</t>
  </si>
  <si>
    <t>3.9</t>
  </si>
  <si>
    <t>3.10</t>
  </si>
  <si>
    <t>ТКДВ</t>
  </si>
  <si>
    <t>1) 8 карт о/м + 2 карты</t>
  </si>
  <si>
    <t>1)  8 карт о/м + 2 карты</t>
  </si>
  <si>
    <t>2) 7 карт о/м + 3 карты</t>
  </si>
  <si>
    <t>3) 6 карт о/м + 4 карты</t>
  </si>
  <si>
    <t>4) 5 карт о/м + 5 карт</t>
  </si>
  <si>
    <t>5) 4 карты о/м + 6 карт</t>
  </si>
  <si>
    <t>6) 3 карты о/м + 7 карт</t>
  </si>
  <si>
    <r>
      <t>ТК</t>
    </r>
    <r>
      <rPr>
        <sz val="10"/>
        <color indexed="10"/>
        <rFont val="Arial Cyr"/>
        <charset val="204"/>
      </rPr>
      <t>ДВ</t>
    </r>
  </si>
  <si>
    <t>4.6</t>
  </si>
  <si>
    <t>4.7</t>
  </si>
  <si>
    <t>4.8</t>
  </si>
  <si>
    <t>4.9</t>
  </si>
  <si>
    <t>4.10</t>
  </si>
  <si>
    <t>4.11</t>
  </si>
  <si>
    <t>4.12</t>
  </si>
  <si>
    <t>4.13</t>
  </si>
  <si>
    <r>
      <t>Т</t>
    </r>
    <r>
      <rPr>
        <sz val="10"/>
        <rFont val="Arial Cyr"/>
        <charset val="204"/>
      </rPr>
      <t>хххххх</t>
    </r>
  </si>
  <si>
    <r>
      <t>ТК</t>
    </r>
    <r>
      <rPr>
        <sz val="10"/>
        <rFont val="Arial Cyr"/>
        <charset val="204"/>
      </rPr>
      <t>хххх</t>
    </r>
  </si>
  <si>
    <r>
      <t>ТКД</t>
    </r>
    <r>
      <rPr>
        <sz val="10"/>
        <rFont val="Arial Cyr"/>
        <charset val="204"/>
      </rPr>
      <t>хх</t>
    </r>
  </si>
  <si>
    <t>5) 4 карты о/м + 4 карты 
др/м + еще 2 карты</t>
  </si>
  <si>
    <t>6) 4 карты о/м + 3 карты 
др/м + еще 3 карты</t>
  </si>
  <si>
    <t>6.3</t>
  </si>
  <si>
    <t>6.4</t>
  </si>
  <si>
    <t>6.5</t>
  </si>
  <si>
    <t>7) 4 карты о/м + еще 
2 карты в 3-х мастях</t>
  </si>
  <si>
    <t>7.1</t>
  </si>
  <si>
    <t>7.2</t>
  </si>
  <si>
    <t>8) 3 карты о/м + 3 карты 
др/м + еще 4 карты</t>
  </si>
  <si>
    <t>8.1</t>
  </si>
  <si>
    <t>8.2</t>
  </si>
  <si>
    <t>8.3</t>
  </si>
  <si>
    <t>8.4</t>
  </si>
  <si>
    <r>
      <t>789</t>
    </r>
    <r>
      <rPr>
        <sz val="10"/>
        <rFont val="Arial Cyr"/>
        <charset val="204"/>
      </rPr>
      <t>+ххх 
(</t>
    </r>
    <r>
      <rPr>
        <sz val="10"/>
        <color indexed="10"/>
        <rFont val="Arial Cyr"/>
        <charset val="204"/>
      </rPr>
      <t>78</t>
    </r>
    <r>
      <rPr>
        <sz val="10"/>
        <rFont val="Arial Cyr"/>
        <charset val="204"/>
      </rPr>
      <t>(9)+хххх)</t>
    </r>
  </si>
  <si>
    <r>
      <t>789</t>
    </r>
    <r>
      <rPr>
        <sz val="10"/>
        <rFont val="Arial Cyr"/>
        <charset val="204"/>
      </rPr>
      <t xml:space="preserve">+ххх 
</t>
    </r>
    <r>
      <rPr>
        <sz val="10"/>
        <color indexed="10"/>
        <rFont val="Arial Cyr"/>
        <charset val="204"/>
      </rPr>
      <t>(78</t>
    </r>
    <r>
      <rPr>
        <sz val="10"/>
        <rFont val="Arial Cyr"/>
        <charset val="204"/>
      </rPr>
      <t>(9)+хххх)</t>
    </r>
  </si>
  <si>
    <t>8</t>
  </si>
  <si>
    <t>Таблица 1.2.</t>
  </si>
  <si>
    <t>Кол-во раскладов в группе</t>
  </si>
  <si>
    <t>Таблица 1.3</t>
  </si>
  <si>
    <t>Таблица 3.1.</t>
  </si>
  <si>
    <t>Доля расклада =</t>
  </si>
  <si>
    <t>Распределение чистого мизера в зависимости от длинной масти</t>
  </si>
  <si>
    <t>Распределение 9-ной в зависимости от длинной масти</t>
  </si>
  <si>
    <t>Распределение 10-ной в зависимости от длинной масти</t>
  </si>
  <si>
    <r>
      <t>ТКД</t>
    </r>
    <r>
      <rPr>
        <sz val="10"/>
        <rFont val="Arial Cyr"/>
        <charset val="204"/>
      </rPr>
      <t>х (</t>
    </r>
    <r>
      <rPr>
        <sz val="10"/>
        <color indexed="10"/>
        <rFont val="Arial Cyr"/>
        <charset val="204"/>
      </rPr>
      <t>КДВ10)
(ТКВ10)(ТДВ10)</t>
    </r>
  </si>
  <si>
    <t>Таблица 2.2.</t>
  </si>
  <si>
    <t>Таблица 2.3</t>
  </si>
  <si>
    <t>Таблица 4</t>
  </si>
  <si>
    <r>
      <rPr>
        <b/>
        <sz val="10"/>
        <rFont val="Arial Cyr"/>
        <charset val="204"/>
      </rPr>
      <t xml:space="preserve">Приход </t>
    </r>
    <r>
      <rPr>
        <b/>
        <sz val="10"/>
        <color indexed="12"/>
        <rFont val="Arial Cyr"/>
        <charset val="204"/>
      </rPr>
      <t xml:space="preserve">10-ной </t>
    </r>
    <r>
      <rPr>
        <b/>
        <sz val="10"/>
        <rFont val="Arial Cyr"/>
        <charset val="204"/>
      </rPr>
      <t>с
раздачи на</t>
    </r>
    <r>
      <rPr>
        <b/>
        <sz val="10"/>
        <color indexed="12"/>
        <rFont val="Arial Cyr"/>
        <charset val="204"/>
      </rPr>
      <t xml:space="preserve"> 1-й </t>
    </r>
    <r>
      <rPr>
        <b/>
        <sz val="10"/>
        <rFont val="Arial Cyr"/>
        <charset val="204"/>
      </rPr>
      <t>руке</t>
    </r>
  </si>
  <si>
    <t>Общее кол-во раскладов на 1,2 и 3-й руке</t>
  </si>
  <si>
    <t>Мизер с раздачи, мин</t>
  </si>
  <si>
    <t>9-ная с раздачи, макс</t>
  </si>
  <si>
    <r>
      <t xml:space="preserve">Таблица 1-1. Стоимость сыгранных и несыгранных контрактов (Сочи, </t>
    </r>
    <r>
      <rPr>
        <b/>
        <sz val="11"/>
        <color indexed="10"/>
        <rFont val="Calibri"/>
        <family val="2"/>
        <charset val="204"/>
      </rPr>
      <t>4</t>
    </r>
    <r>
      <rPr>
        <b/>
        <sz val="11"/>
        <color indexed="8"/>
        <rFont val="Calibri"/>
        <family val="2"/>
        <charset val="204"/>
      </rPr>
      <t xml:space="preserve"> игрока)</t>
    </r>
  </si>
  <si>
    <t>Подсад без</t>
  </si>
  <si>
    <t>Пол-виста</t>
  </si>
  <si>
    <t>Ровно</t>
  </si>
  <si>
    <t>Уровень</t>
  </si>
  <si>
    <t>Очки в пулю</t>
  </si>
  <si>
    <t>1. Опровержение обоснования Сашуна нахождения 10 очкового мизера между 8-ной и 9-ной:</t>
  </si>
  <si>
    <t xml:space="preserve">"ЗАЯВКА Мизер расположена между заявкой 9-ной и 8-ной, потому что ПРОИГРЫШ </t>
  </si>
  <si>
    <t>(в вистах) от НЕСЫГРАННОГО мизера меньше, чем проигрыш от НЕСЫГРАННОЙ 9-ной".</t>
  </si>
  <si>
    <t>M</t>
  </si>
  <si>
    <r>
      <t xml:space="preserve">Тезис Сашуна неверен, т.к. если учесть, что в </t>
    </r>
    <r>
      <rPr>
        <b/>
        <sz val="9"/>
        <color indexed="10"/>
        <rFont val="Courier New"/>
        <family val="3"/>
        <charset val="204"/>
      </rPr>
      <t>БОЛЬШИНСТВЕ СЛУЧАЕВ</t>
    </r>
    <r>
      <rPr>
        <sz val="9"/>
        <color indexed="8"/>
        <rFont val="Courier New"/>
        <family val="3"/>
        <charset val="204"/>
      </rPr>
      <t xml:space="preserve"> на мизере и 8-ной игроки садятся без 1 или без 2-х, </t>
    </r>
  </si>
  <si>
    <t>то следуя логике самого  Сашуна, заявку мизер следует располагать уже между 7-ной и 8-ной (см. Таблицы 1-1 и 1-2):</t>
  </si>
  <si>
    <t>8 без 1 (81 вист) &gt; мизер без 1 (75 вистов)&gt; 7 без 1 (58 вистов)</t>
  </si>
  <si>
    <t>8 без 2 (150 вистов) = мизер без 2 (150 вистов)&gt; 7 без 2 (104 виста)</t>
  </si>
  <si>
    <r>
      <t xml:space="preserve">Таблица 1-2. Стоимость сыгранных и несыгранных контрактов (Сочи, </t>
    </r>
    <r>
      <rPr>
        <b/>
        <sz val="11"/>
        <color indexed="10"/>
        <rFont val="Calibri"/>
        <family val="2"/>
        <charset val="204"/>
      </rPr>
      <t>3</t>
    </r>
    <r>
      <rPr>
        <b/>
        <sz val="11"/>
        <color indexed="8"/>
        <rFont val="Calibri"/>
        <family val="2"/>
        <charset val="204"/>
      </rPr>
      <t xml:space="preserve"> игрока)</t>
    </r>
  </si>
  <si>
    <t>2. Опровержение обоснования (Leo_68) стоимости мизера 10 очков в пулю "вследствие  меньшей [статистической] стоимости мизера по сравнению с 9-ной".</t>
  </si>
  <si>
    <r>
      <t xml:space="preserve">При стоимости мизера </t>
    </r>
    <r>
      <rPr>
        <sz val="11"/>
        <color indexed="10"/>
        <rFont val="Calibri"/>
        <family val="2"/>
        <charset val="204"/>
      </rPr>
      <t>10</t>
    </r>
    <r>
      <rPr>
        <sz val="10"/>
        <rFont val="Arial Cyr"/>
        <charset val="204"/>
      </rPr>
      <t xml:space="preserve"> очков в пулю</t>
    </r>
  </si>
  <si>
    <r>
      <t xml:space="preserve">При стоимости мизера </t>
    </r>
    <r>
      <rPr>
        <sz val="11"/>
        <color indexed="12"/>
        <rFont val="Calibri"/>
        <family val="2"/>
        <charset val="204"/>
      </rPr>
      <t>8</t>
    </r>
    <r>
      <rPr>
        <sz val="10"/>
        <rFont val="Arial Cyr"/>
        <charset val="204"/>
      </rPr>
      <t xml:space="preserve"> очков в пулю</t>
    </r>
  </si>
  <si>
    <t>Таблица 2-1. Доля подсадных игр</t>
  </si>
  <si>
    <t>Таблица 2-2. Доля подсадных игр</t>
  </si>
  <si>
    <t>Таблица 2-3. Доля подсадных игр</t>
  </si>
  <si>
    <t>Таблица 2-4. Доля подсадных игр</t>
  </si>
  <si>
    <t>Вистующие берут 1 взятку на 9-ной</t>
  </si>
  <si>
    <r>
      <rPr>
        <b/>
        <sz val="11"/>
        <color indexed="10"/>
        <rFont val="Calibri"/>
        <family val="2"/>
        <charset val="204"/>
      </rPr>
      <t>4</t>
    </r>
    <r>
      <rPr>
        <b/>
        <sz val="11"/>
        <color indexed="8"/>
        <rFont val="Calibri"/>
        <family val="2"/>
        <charset val="204"/>
      </rPr>
      <t xml:space="preserve"> игрока</t>
    </r>
  </si>
  <si>
    <r>
      <rPr>
        <b/>
        <sz val="11"/>
        <color indexed="10"/>
        <rFont val="Calibri"/>
        <family val="2"/>
        <charset val="204"/>
      </rPr>
      <t>3</t>
    </r>
    <r>
      <rPr>
        <b/>
        <sz val="11"/>
        <color indexed="8"/>
        <rFont val="Calibri"/>
        <family val="2"/>
        <charset val="204"/>
      </rPr>
      <t xml:space="preserve"> игрока</t>
    </r>
  </si>
  <si>
    <t>9 без 1, p(8)</t>
  </si>
  <si>
    <t>M с 1 вз., p(m+1)</t>
  </si>
  <si>
    <t>Разница</t>
  </si>
  <si>
    <t>Таблица 3-1. Доля подсадных игр</t>
  </si>
  <si>
    <t>Таблица 3-2. Доля подсадных игр</t>
  </si>
  <si>
    <t>Таблица 3-3. Доля подсадных игр</t>
  </si>
  <si>
    <t>Таблица 3-4. Доля подсадных игр</t>
  </si>
  <si>
    <t>Вистующие никогда не вистуют на 9-ной</t>
  </si>
  <si>
    <t>Статистическая стоимость мизера S ("M") с возможной 1 взяткой (всего)на нем и Статистическая стоимость 9-ной S ("9") с возможностью сесть без 1-й (только):</t>
  </si>
  <si>
    <t xml:space="preserve"> </t>
  </si>
  <si>
    <t>1)S(“M”)=”М”*(1-р(m+1))-“M с 1 вз.”*p(m+1)</t>
  </si>
  <si>
    <t>2)S(“9”)=”9”(1-р(8))-“9 без 1 вз.”*p(8),</t>
  </si>
  <si>
    <t xml:space="preserve">где p(m+1)- доля мизеров с 1-й взятой взяткой, а p(8) – доля 9-ных контрактов без одной (“M”/“M с 1 вз.” - стоимость в вистах сыгранного/несыгранного (с 1-й взяткой) мизера, </t>
  </si>
  <si>
    <t>а “9”/“9 без 1 вз.” - стоимость в вистах сыгранной/несыгранной (без 1-й) 9-ной.</t>
  </si>
  <si>
    <t>Решить предложенною мною задачку можно приравняв уравнения 1) и 2) и найти зависимость p(m+1) от p(8):</t>
  </si>
  <si>
    <t>p(m+1)=(“M” –“9”+(“9”+”9 без 1 вз.”)* p(8))/(“M”+“M с 1 вз.”)</t>
  </si>
  <si>
    <r>
      <t xml:space="preserve">Вывод после анализа данных очень простой - даже если, мы никогда не будем садиться на 9-ной, то для 10-очкового мизера все равно имеется </t>
    </r>
    <r>
      <rPr>
        <b/>
        <sz val="9"/>
        <color indexed="36"/>
        <rFont val="Courier New"/>
        <family val="3"/>
        <charset val="204"/>
      </rPr>
      <t>изначальный гендикап</t>
    </r>
    <r>
      <rPr>
        <sz val="9"/>
        <color indexed="8"/>
        <rFont val="Courier New"/>
        <family val="3"/>
        <charset val="204"/>
      </rPr>
      <t xml:space="preserve"> в виде возможности </t>
    </r>
  </si>
  <si>
    <t xml:space="preserve">подсада (на 1-ну взятку) в 10-16 % случаев, чтобы при этом стат. Стоимость мизера все равно оставалась больше стат. Стоимости 9-ной. Если же мы учтем возможность подсада на 9-ной, </t>
  </si>
  <si>
    <t>то в.у. гендикап будет только возрастать по мере роста контрактов 9 без 1-й.</t>
  </si>
  <si>
    <t>Снижение стоимости мизера до 8 очков в пулю существенно снижает диапазон в.у. изначального гендикапа до 0-7,5%.</t>
  </si>
  <si>
    <r>
      <t xml:space="preserve">Таблица 1.1. Расчет количества раскладов чистый мизер с раздачи на </t>
    </r>
    <r>
      <rPr>
        <b/>
        <sz val="10"/>
        <color indexed="10"/>
        <rFont val="Arial Cyr"/>
        <charset val="204"/>
      </rPr>
      <t>2-й</t>
    </r>
    <r>
      <rPr>
        <b/>
        <sz val="10"/>
        <rFont val="Arial Cyr"/>
        <charset val="204"/>
      </rPr>
      <t xml:space="preserve"> (или </t>
    </r>
    <r>
      <rPr>
        <b/>
        <sz val="10"/>
        <color indexed="10"/>
        <rFont val="Arial Cyr"/>
        <charset val="204"/>
      </rPr>
      <t>3-й</t>
    </r>
    <r>
      <rPr>
        <b/>
        <sz val="10"/>
        <rFont val="Arial Cyr"/>
        <charset val="204"/>
      </rPr>
      <t xml:space="preserve"> руке).</t>
    </r>
  </si>
  <si>
    <r>
      <t xml:space="preserve">Таблица 2.1. Расчет количества раскладов для 9-ного контракта с раздачи на </t>
    </r>
    <r>
      <rPr>
        <b/>
        <sz val="10"/>
        <color indexed="10"/>
        <rFont val="Arial Cyr"/>
        <charset val="204"/>
      </rPr>
      <t>1-й</t>
    </r>
    <r>
      <rPr>
        <sz val="10"/>
        <color indexed="10"/>
        <rFont val="Arial Cyr"/>
        <charset val="204"/>
      </rPr>
      <t xml:space="preserve"> </t>
    </r>
    <r>
      <rPr>
        <b/>
        <sz val="10"/>
        <rFont val="Arial Cyr"/>
        <charset val="204"/>
      </rPr>
      <t>руке.</t>
    </r>
  </si>
  <si>
    <t>Таблица 3.2.</t>
  </si>
  <si>
    <r>
      <t xml:space="preserve">На </t>
    </r>
    <r>
      <rPr>
        <b/>
        <sz val="10"/>
        <color indexed="12"/>
        <rFont val="Arial Cyr"/>
        <charset val="204"/>
      </rPr>
      <t>1-й</t>
    </r>
    <r>
      <rPr>
        <b/>
        <sz val="10"/>
        <rFont val="Arial Cyr"/>
        <charset val="204"/>
      </rPr>
      <t xml:space="preserve"> руке вместо одной бланковой </t>
    </r>
    <r>
      <rPr>
        <b/>
        <sz val="10"/>
        <color indexed="10"/>
        <rFont val="Arial Cyr"/>
        <charset val="204"/>
      </rPr>
      <t>7-ки</t>
    </r>
    <r>
      <rPr>
        <b/>
        <sz val="10"/>
        <rFont val="Arial Cyr"/>
        <charset val="204"/>
      </rPr>
      <t xml:space="preserve"> возможна и </t>
    </r>
    <r>
      <rPr>
        <b/>
        <sz val="10"/>
        <color indexed="10"/>
        <rFont val="Arial Cyr"/>
        <charset val="204"/>
      </rPr>
      <t>8-ка</t>
    </r>
  </si>
  <si>
    <r>
      <t xml:space="preserve">Кол-во раскладов 9-ной для </t>
    </r>
    <r>
      <rPr>
        <b/>
        <sz val="10"/>
        <color indexed="10"/>
        <rFont val="Arial Cyr"/>
        <charset val="204"/>
      </rPr>
      <t xml:space="preserve">2 (или 3-й) </t>
    </r>
    <r>
      <rPr>
        <b/>
        <sz val="10"/>
        <rFont val="Arial Cyr"/>
        <charset val="204"/>
      </rPr>
      <t>руки, макс</t>
    </r>
  </si>
  <si>
    <r>
      <rPr>
        <b/>
        <sz val="10"/>
        <rFont val="Arial Cyr"/>
        <charset val="204"/>
      </rPr>
      <t xml:space="preserve">Приход </t>
    </r>
    <r>
      <rPr>
        <b/>
        <sz val="10"/>
        <color indexed="12"/>
        <rFont val="Arial Cyr"/>
        <charset val="204"/>
      </rPr>
      <t xml:space="preserve">10-ной </t>
    </r>
    <r>
      <rPr>
        <b/>
        <sz val="10"/>
        <rFont val="Arial Cyr"/>
        <charset val="204"/>
      </rPr>
      <t>с
раздачи на</t>
    </r>
    <r>
      <rPr>
        <b/>
        <sz val="10"/>
        <color indexed="12"/>
        <rFont val="Arial Cyr"/>
        <charset val="204"/>
      </rPr>
      <t xml:space="preserve"> 2-й и 3-й </t>
    </r>
    <r>
      <rPr>
        <b/>
        <sz val="10"/>
        <rFont val="Arial Cyr"/>
        <charset val="204"/>
      </rPr>
      <t>руке</t>
    </r>
  </si>
  <si>
    <r>
      <t>78</t>
    </r>
    <r>
      <rPr>
        <sz val="10"/>
        <rFont val="Arial Cyr"/>
        <charset val="204"/>
      </rPr>
      <t>(9)</t>
    </r>
  </si>
  <si>
    <r>
      <t>Т</t>
    </r>
    <r>
      <rPr>
        <sz val="10"/>
        <rFont val="Arial Cyr"/>
        <charset val="204"/>
      </rPr>
      <t>х</t>
    </r>
    <r>
      <rPr>
        <sz val="10"/>
        <color indexed="10"/>
        <rFont val="Arial Cyr"/>
        <charset val="204"/>
      </rPr>
      <t xml:space="preserve"> (КД)</t>
    </r>
  </si>
  <si>
    <r>
      <t>ТК</t>
    </r>
    <r>
      <rPr>
        <sz val="10"/>
        <rFont val="Arial Cyr"/>
        <charset val="204"/>
      </rPr>
      <t>х</t>
    </r>
    <r>
      <rPr>
        <sz val="10"/>
        <color indexed="10"/>
        <rFont val="Arial Cyr"/>
        <charset val="204"/>
      </rPr>
      <t xml:space="preserve"> (ТДВ)
(КДВ)</t>
    </r>
  </si>
  <si>
    <r>
      <t>Т</t>
    </r>
    <r>
      <rPr>
        <sz val="10"/>
        <rFont val="Arial Cyr"/>
        <charset val="204"/>
      </rPr>
      <t>(нет К)</t>
    </r>
    <r>
      <rPr>
        <sz val="10"/>
        <rFont val="Arial Cyr"/>
        <charset val="204"/>
      </rPr>
      <t>+ххххх 
(</t>
    </r>
    <r>
      <rPr>
        <sz val="10"/>
        <color indexed="10"/>
        <rFont val="Arial Cyr"/>
        <charset val="204"/>
      </rPr>
      <t>КД</t>
    </r>
    <r>
      <rPr>
        <sz val="10"/>
        <rFont val="Arial Cyr"/>
        <charset val="204"/>
      </rPr>
      <t>хххх)</t>
    </r>
  </si>
  <si>
    <r>
      <t>ТК</t>
    </r>
    <r>
      <rPr>
        <sz val="10"/>
        <rFont val="Arial Cyr"/>
        <charset val="204"/>
      </rPr>
      <t>(нет Д)</t>
    </r>
    <r>
      <rPr>
        <sz val="10"/>
        <rFont val="Arial Cyr"/>
        <charset val="204"/>
      </rPr>
      <t>+ххх 
(</t>
    </r>
    <r>
      <rPr>
        <sz val="10"/>
        <color indexed="10"/>
        <rFont val="Arial Cyr"/>
        <charset val="204"/>
      </rPr>
      <t>ТДВ</t>
    </r>
    <r>
      <rPr>
        <sz val="10"/>
        <rFont val="Arial Cyr"/>
        <charset val="204"/>
      </rPr>
      <t>хх) (</t>
    </r>
    <r>
      <rPr>
        <sz val="10"/>
        <color indexed="10"/>
        <rFont val="Arial Cyr"/>
        <charset val="204"/>
      </rPr>
      <t>КДВ</t>
    </r>
    <r>
      <rPr>
        <sz val="10"/>
        <rFont val="Arial Cyr"/>
        <charset val="204"/>
      </rPr>
      <t>хх</t>
    </r>
    <r>
      <rPr>
        <sz val="10"/>
        <rFont val="Arial Cyr"/>
        <charset val="204"/>
      </rPr>
      <t>)</t>
    </r>
  </si>
  <si>
    <r>
      <t>ТКД</t>
    </r>
    <r>
      <rPr>
        <sz val="10"/>
        <rFont val="Arial Cyr"/>
        <charset val="204"/>
      </rPr>
      <t xml:space="preserve">х </t>
    </r>
    <r>
      <rPr>
        <sz val="10"/>
        <color indexed="10"/>
        <rFont val="Arial Cyr"/>
        <charset val="204"/>
      </rPr>
      <t>(КДВ10)
(ТКВ10)(ТДВ10)</t>
    </r>
  </si>
  <si>
    <t>Доля раскладов на 1-й руке, %</t>
  </si>
  <si>
    <t>Доля раскладов на 2(3)-й руке, %</t>
  </si>
  <si>
    <r>
      <t>ТДВ</t>
    </r>
    <r>
      <rPr>
        <sz val="10"/>
        <rFont val="Arial Cyr"/>
        <charset val="204"/>
      </rPr>
      <t xml:space="preserve">хх 
</t>
    </r>
    <r>
      <rPr>
        <sz val="10"/>
        <color indexed="10"/>
        <rFont val="Arial Cyr"/>
        <charset val="204"/>
      </rPr>
      <t>КДВ</t>
    </r>
    <r>
      <rPr>
        <sz val="10"/>
        <rFont val="Arial Cyr"/>
        <charset val="204"/>
      </rPr>
      <t xml:space="preserve">хх 
</t>
    </r>
    <r>
      <rPr>
        <sz val="10"/>
        <color indexed="10"/>
        <rFont val="Arial Cyr"/>
        <charset val="204"/>
      </rPr>
      <t>ТК</t>
    </r>
    <r>
      <rPr>
        <sz val="10"/>
        <rFont val="Arial Cyr"/>
        <charset val="204"/>
      </rPr>
      <t xml:space="preserve">(нет </t>
    </r>
    <r>
      <rPr>
        <sz val="10"/>
        <color indexed="10"/>
        <rFont val="Arial Cyr"/>
        <charset val="204"/>
      </rPr>
      <t>Д</t>
    </r>
    <r>
      <rPr>
        <sz val="10"/>
        <rFont val="Arial Cyr"/>
        <charset val="204"/>
      </rPr>
      <t>)+ххх</t>
    </r>
  </si>
  <si>
    <t>Таблица 3.3</t>
  </si>
  <si>
    <r>
      <t>Т</t>
    </r>
    <r>
      <rPr>
        <sz val="10"/>
        <rFont val="Arial Cyr"/>
        <charset val="204"/>
      </rPr>
      <t>х</t>
    </r>
  </si>
  <si>
    <r>
      <t>ТКД</t>
    </r>
    <r>
      <rPr>
        <sz val="10"/>
        <rFont val="Arial Cyr"/>
        <charset val="204"/>
      </rPr>
      <t>х</t>
    </r>
  </si>
  <si>
    <r>
      <t>ТКД</t>
    </r>
    <r>
      <rPr>
        <sz val="10"/>
        <rFont val="Arial Cyr"/>
        <charset val="204"/>
      </rPr>
      <t>х</t>
    </r>
    <r>
      <rPr>
        <sz val="10"/>
        <color indexed="10"/>
        <rFont val="Arial Cyr"/>
        <charset val="204"/>
      </rPr>
      <t>(КДВ10)
(ТКВ10)(ТДВ10)</t>
    </r>
  </si>
  <si>
    <r>
      <t>ТК</t>
    </r>
    <r>
      <rPr>
        <sz val="10"/>
        <rFont val="Arial Cyr"/>
        <charset val="204"/>
      </rPr>
      <t>х</t>
    </r>
  </si>
  <si>
    <t>Контракт</t>
  </si>
  <si>
    <t>p, Доля в общем количестве всевозможных раскладов, %, мин</t>
  </si>
  <si>
    <t>10-ная с раздачи, макс</t>
  </si>
  <si>
    <t>m1*d2+m2*d1=</t>
  </si>
  <si>
    <t>m1*d1+m2*d2=</t>
  </si>
  <si>
    <t>Таблица 1.1.1</t>
  </si>
  <si>
    <t>4.1.1</t>
  </si>
  <si>
    <t>78910В</t>
  </si>
  <si>
    <t>4.2.1</t>
  </si>
  <si>
    <t>4.3.1</t>
  </si>
  <si>
    <t>4.4.1</t>
  </si>
  <si>
    <t>4.5.1</t>
  </si>
  <si>
    <t>Доля расклада,% =</t>
  </si>
  <si>
    <t>C(20;10)</t>
  </si>
  <si>
    <t>Таблица 1.2.1</t>
  </si>
  <si>
    <r>
      <t xml:space="preserve">На </t>
    </r>
    <r>
      <rPr>
        <b/>
        <sz val="10"/>
        <color indexed="12"/>
        <rFont val="Arial Cyr"/>
        <charset val="204"/>
      </rPr>
      <t>2/3-й</t>
    </r>
    <r>
      <rPr>
        <b/>
        <sz val="10"/>
        <rFont val="Arial Cyr"/>
        <charset val="204"/>
      </rPr>
      <t xml:space="preserve"> руке убираем дырки бланки</t>
    </r>
  </si>
  <si>
    <t>любая</t>
  </si>
  <si>
    <r>
      <t>7-</t>
    </r>
    <r>
      <rPr>
        <sz val="10"/>
        <rFont val="Arial Cyr"/>
        <charset val="204"/>
      </rPr>
      <t>любая</t>
    </r>
  </si>
  <si>
    <t>4.5.2</t>
  </si>
  <si>
    <r>
      <t xml:space="preserve">любая </t>
    </r>
    <r>
      <rPr>
        <sz val="10"/>
        <color indexed="10"/>
        <rFont val="Arial Cyr"/>
        <charset val="204"/>
      </rPr>
      <t>не 7</t>
    </r>
  </si>
  <si>
    <r>
      <t>7</t>
    </r>
    <r>
      <rPr>
        <sz val="10"/>
        <rFont val="Arial Cyr"/>
        <charset val="204"/>
      </rPr>
      <t>-любая</t>
    </r>
  </si>
  <si>
    <t>5.4.1</t>
  </si>
  <si>
    <t>5.4.2</t>
  </si>
  <si>
    <t>Номер руки с квази-преферансом</t>
  </si>
  <si>
    <t xml:space="preserve">Первая </t>
  </si>
  <si>
    <t>Вторая 
или Третья</t>
  </si>
  <si>
    <t>Количество чистых мизеров на 
1 квази-преферанс</t>
  </si>
  <si>
    <t>Доля чистых мизеров в общем количестве возм. Раскладов</t>
  </si>
  <si>
    <t>Количество мизеров с одной дыркой на 
1 квази-преферанс</t>
  </si>
  <si>
    <t>Доля мизеров c одной дыркой в общем количестве возм. Раскладов</t>
  </si>
  <si>
    <r>
      <t xml:space="preserve">Мизеров с раздачи больше, чем </t>
    </r>
    <r>
      <rPr>
        <b/>
        <sz val="9"/>
        <color indexed="10"/>
        <rFont val="Arial Cyr"/>
        <charset val="204"/>
      </rPr>
      <t>9</t>
    </r>
    <r>
      <rPr>
        <b/>
        <sz val="9"/>
        <rFont val="Arial Cyr"/>
        <charset val="204"/>
      </rPr>
      <t>-ных с раздачи в, мин</t>
    </r>
  </si>
  <si>
    <r>
      <t xml:space="preserve">Мизеров с раздачи больше, чем </t>
    </r>
    <r>
      <rPr>
        <b/>
        <sz val="9"/>
        <color indexed="10"/>
        <rFont val="Arial Cyr"/>
        <charset val="204"/>
      </rPr>
      <t>9</t>
    </r>
    <r>
      <rPr>
        <b/>
        <sz val="9"/>
        <rFont val="Arial Cyr"/>
        <charset val="204"/>
      </rPr>
      <t xml:space="preserve">-ных и </t>
    </r>
    <r>
      <rPr>
        <b/>
        <sz val="9"/>
        <color indexed="56"/>
        <rFont val="Arial Cyr"/>
        <charset val="204"/>
      </rPr>
      <t>10</t>
    </r>
    <r>
      <rPr>
        <b/>
        <sz val="9"/>
        <rFont val="Arial Cyr"/>
        <charset val="204"/>
      </rPr>
      <t>-ных с раздачи в, мин</t>
    </r>
  </si>
  <si>
    <r>
      <t xml:space="preserve">Таблица 1.2. Расчет количества раскладов "квази-мизер с раздачи" на 1-й руке  с одной дыркой при раскладе </t>
    </r>
    <r>
      <rPr>
        <b/>
        <sz val="10"/>
        <color indexed="10"/>
        <rFont val="Arial Cyr"/>
        <charset val="204"/>
      </rPr>
      <t>КД_КД_ТКД_ТКД</t>
    </r>
    <r>
      <rPr>
        <b/>
        <sz val="10"/>
        <rFont val="Arial Cyr"/>
        <charset val="204"/>
      </rPr>
      <t xml:space="preserve"> (квази-"преферанс") и "нужных" картах в прикупе (</t>
    </r>
    <r>
      <rPr>
        <b/>
        <sz val="10"/>
        <color indexed="10"/>
        <rFont val="Arial Cyr"/>
        <charset val="204"/>
      </rPr>
      <t>ТпТт</t>
    </r>
    <r>
      <rPr>
        <b/>
        <sz val="10"/>
        <rFont val="Arial Cyr"/>
        <charset val="204"/>
      </rPr>
      <t>).</t>
    </r>
  </si>
  <si>
    <r>
      <t xml:space="preserve">Таблица 1.1. Расчет количества раскладов "чистый мизер с раздачи" при раскладе </t>
    </r>
    <r>
      <rPr>
        <b/>
        <sz val="10"/>
        <color indexed="10"/>
        <rFont val="Arial Cyr"/>
        <charset val="204"/>
      </rPr>
      <t>КД_КД_ТКД_ТКД</t>
    </r>
    <r>
      <rPr>
        <b/>
        <sz val="10"/>
        <rFont val="Arial Cyr"/>
        <charset val="204"/>
      </rPr>
      <t xml:space="preserve"> (квази-"преферанс") 
и "нужных" картах в прикупе (</t>
    </r>
    <r>
      <rPr>
        <b/>
        <sz val="10"/>
        <color indexed="10"/>
        <rFont val="Arial Cyr"/>
        <charset val="204"/>
      </rPr>
      <t>ТпТт</t>
    </r>
    <r>
      <rPr>
        <b/>
        <sz val="10"/>
        <rFont val="Arial Cyr"/>
        <charset val="204"/>
      </rPr>
      <t>).</t>
    </r>
  </si>
  <si>
    <r>
      <t>ТК</t>
    </r>
    <r>
      <rPr>
        <sz val="10"/>
        <rFont val="Arial Cyr"/>
        <charset val="204"/>
      </rPr>
      <t>В987</t>
    </r>
  </si>
  <si>
    <t>Множитель из-за симметрии бубны/червы</t>
  </si>
  <si>
    <r>
      <t>ТКДВ</t>
    </r>
    <r>
      <rPr>
        <sz val="10"/>
        <rFont val="Arial Cyr"/>
        <charset val="204"/>
      </rPr>
      <t>107</t>
    </r>
  </si>
  <si>
    <r>
      <t>ТК</t>
    </r>
    <r>
      <rPr>
        <sz val="10"/>
        <rFont val="Arial Cyr"/>
        <charset val="204"/>
      </rPr>
      <t>х</t>
    </r>
  </si>
  <si>
    <r>
      <t>ТК</t>
    </r>
    <r>
      <rPr>
        <sz val="10"/>
        <color rgb="FFFF0000"/>
        <rFont val="Arial Cyr"/>
        <charset val="204"/>
      </rPr>
      <t>Д</t>
    </r>
  </si>
  <si>
    <r>
      <t>ТК</t>
    </r>
    <r>
      <rPr>
        <sz val="10"/>
        <color rgb="FFFF0000"/>
        <rFont val="Arial Cyr"/>
        <charset val="204"/>
      </rPr>
      <t>Д</t>
    </r>
    <r>
      <rPr>
        <sz val="10"/>
        <rFont val="Arial Cyr"/>
        <charset val="204"/>
      </rPr>
      <t>В107</t>
    </r>
  </si>
  <si>
    <r>
      <t>ТКД</t>
    </r>
    <r>
      <rPr>
        <sz val="10"/>
        <rFont val="Arial Cyr"/>
        <charset val="204"/>
      </rPr>
      <t>В107</t>
    </r>
  </si>
  <si>
    <t>1.1.1</t>
  </si>
  <si>
    <t>1.1.2</t>
  </si>
  <si>
    <t>1.1.3</t>
  </si>
  <si>
    <t>1.2.1</t>
  </si>
  <si>
    <t>1.2.2</t>
  </si>
  <si>
    <t>1.2.3</t>
  </si>
  <si>
    <t>1.3.1</t>
  </si>
  <si>
    <t>1.3.2</t>
  </si>
  <si>
    <t>1.4.1</t>
  </si>
  <si>
    <t>1.4.2</t>
  </si>
  <si>
    <t>1.4.3</t>
  </si>
  <si>
    <r>
      <t>ТК</t>
    </r>
    <r>
      <rPr>
        <sz val="10"/>
        <color rgb="FFFF0000"/>
        <rFont val="Arial Cyr"/>
        <charset val="204"/>
      </rPr>
      <t/>
    </r>
  </si>
  <si>
    <t>1.4.4</t>
  </si>
  <si>
    <t>2.1.1</t>
  </si>
  <si>
    <r>
      <t>ТК</t>
    </r>
    <r>
      <rPr>
        <sz val="10"/>
        <rFont val="Arial Cyr"/>
        <charset val="204"/>
      </rPr>
      <t>ххх</t>
    </r>
  </si>
  <si>
    <r>
      <t>Т</t>
    </r>
    <r>
      <rPr>
        <sz val="10"/>
        <rFont val="Arial Cyr"/>
        <charset val="204"/>
      </rPr>
      <t>х</t>
    </r>
  </si>
  <si>
    <r>
      <t>Т</t>
    </r>
    <r>
      <rPr>
        <sz val="10"/>
        <color rgb="FFFF0000"/>
        <rFont val="Arial Cyr"/>
        <charset val="204"/>
      </rPr>
      <t>К</t>
    </r>
  </si>
  <si>
    <t>1.3.3</t>
  </si>
  <si>
    <t>1.3.4</t>
  </si>
  <si>
    <t>1.1.4</t>
  </si>
  <si>
    <r>
      <t>ТК</t>
    </r>
    <r>
      <rPr>
        <sz val="10"/>
        <rFont val="Arial Cyr"/>
        <charset val="204"/>
      </rPr>
      <t>xхх</t>
    </r>
  </si>
  <si>
    <r>
      <t>ТК</t>
    </r>
    <r>
      <rPr>
        <sz val="10"/>
        <color rgb="FFFF0000"/>
        <rFont val="Arial Cyr"/>
        <charset val="204"/>
      </rPr>
      <t>Д</t>
    </r>
    <r>
      <rPr>
        <sz val="10"/>
        <rFont val="Arial Cyr"/>
        <charset val="204"/>
      </rPr>
      <t>хх</t>
    </r>
  </si>
  <si>
    <t>2.2.1</t>
  </si>
  <si>
    <t>2.2.2</t>
  </si>
  <si>
    <t>2.2.3</t>
  </si>
  <si>
    <t>2.2.4</t>
  </si>
  <si>
    <t>2.2.5</t>
  </si>
  <si>
    <r>
      <t>Т</t>
    </r>
    <r>
      <rPr>
        <sz val="10"/>
        <color indexed="10"/>
        <rFont val="Arial Cyr"/>
        <charset val="204"/>
      </rPr>
      <t>КД</t>
    </r>
  </si>
  <si>
    <t>2.3.1</t>
  </si>
  <si>
    <t>2.3.2</t>
  </si>
  <si>
    <r>
      <t>Т</t>
    </r>
    <r>
      <rPr>
        <sz val="10"/>
        <color indexed="10"/>
        <rFont val="Arial Cyr"/>
        <charset val="204"/>
      </rPr>
      <t>К</t>
    </r>
  </si>
  <si>
    <t>2.3.3</t>
  </si>
  <si>
    <t>2.4.1</t>
  </si>
  <si>
    <t>2.4.2</t>
  </si>
  <si>
    <t>2.4.3</t>
  </si>
  <si>
    <r>
      <t>ТК</t>
    </r>
    <r>
      <rPr>
        <sz val="10"/>
        <rFont val="Arial Cyr"/>
        <charset val="204"/>
      </rPr>
      <t>ххх 
(</t>
    </r>
    <r>
      <rPr>
        <sz val="10"/>
        <color indexed="10"/>
        <rFont val="Arial Cyr"/>
        <charset val="204"/>
      </rPr>
      <t>ТДВ</t>
    </r>
    <r>
      <rPr>
        <sz val="10"/>
        <rFont val="Arial Cyr"/>
        <charset val="204"/>
      </rPr>
      <t>107) (</t>
    </r>
    <r>
      <rPr>
        <sz val="10"/>
        <color indexed="10"/>
        <rFont val="Arial Cyr"/>
        <charset val="204"/>
      </rPr>
      <t>КДВ</t>
    </r>
    <r>
      <rPr>
        <sz val="10"/>
        <rFont val="Arial Cyr"/>
        <charset val="204"/>
      </rPr>
      <t>107</t>
    </r>
    <r>
      <rPr>
        <sz val="10"/>
        <rFont val="Arial Cyr"/>
        <charset val="204"/>
      </rPr>
      <t>)</t>
    </r>
  </si>
  <si>
    <t>2.4.4</t>
  </si>
  <si>
    <t>2.4.5</t>
  </si>
  <si>
    <t>2.4.6</t>
  </si>
  <si>
    <t>Множитель из-за перестановки рук местами (2&lt;--&gt;3)</t>
  </si>
  <si>
    <t>2.4.7</t>
  </si>
  <si>
    <t>2.5.1</t>
  </si>
  <si>
    <t>2.5.2</t>
  </si>
  <si>
    <t>2.5.3</t>
  </si>
  <si>
    <t>2.5.4</t>
  </si>
  <si>
    <r>
      <rPr>
        <sz val="10"/>
        <rFont val="Arial Cyr"/>
        <charset val="204"/>
      </rPr>
      <t>х</t>
    </r>
  </si>
  <si>
    <t>2.5.5</t>
  </si>
  <si>
    <r>
      <rPr>
        <sz val="10"/>
        <color rgb="FFFF0000"/>
        <rFont val="Arial Cyr"/>
        <charset val="204"/>
      </rPr>
      <t>ТКД</t>
    </r>
    <r>
      <rPr>
        <sz val="10"/>
        <rFont val="Arial Cyr"/>
        <charset val="204"/>
      </rPr>
      <t>хх</t>
    </r>
  </si>
  <si>
    <t>2.5.6</t>
  </si>
  <si>
    <t>2.5.7</t>
  </si>
  <si>
    <r>
      <t>Т</t>
    </r>
    <r>
      <rPr>
        <sz val="10"/>
        <rFont val="Arial Cyr"/>
        <charset val="204"/>
      </rPr>
      <t>х</t>
    </r>
    <r>
      <rPr>
        <sz val="10"/>
        <color rgb="FFFF0000"/>
        <rFont val="Arial Cyr"/>
        <charset val="204"/>
      </rPr>
      <t>(КД)</t>
    </r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</si>
  <si>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</si>
  <si>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</si>
  <si>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</si>
  <si>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</si>
  <si>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</si>
  <si>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</si>
  <si>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</si>
  <si>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</si>
  <si>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</si>
  <si>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</si>
  <si>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</si>
  <si>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</si>
  <si>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</si>
  <si>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</si>
  <si>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</si>
  <si>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</si>
  <si>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</si>
  <si>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</si>
  <si>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5.1.1</t>
  </si>
  <si>
    <t>5.1.2</t>
  </si>
  <si>
    <t>3.1.10</t>
  </si>
  <si>
    <t>5.1.3</t>
  </si>
  <si>
    <t>5.1.4</t>
  </si>
  <si>
    <r>
      <t>ТКД</t>
    </r>
    <r>
      <rPr>
        <sz val="10"/>
        <color indexed="10"/>
        <rFont val="Arial Cyr"/>
        <charset val="204"/>
      </rPr>
      <t>В</t>
    </r>
  </si>
  <si>
    <t>5.1.5</t>
  </si>
  <si>
    <t>5.1.6</t>
  </si>
  <si>
    <t>5.1.7</t>
  </si>
  <si>
    <t>5.1.8</t>
  </si>
  <si>
    <t>5.1.9</t>
  </si>
  <si>
    <t>6.1.1</t>
  </si>
  <si>
    <t>6.1.2</t>
  </si>
  <si>
    <t>6.1.3</t>
  </si>
  <si>
    <t>6.1.4</t>
  </si>
  <si>
    <t>6.1.5</t>
  </si>
  <si>
    <t>6.1.6</t>
  </si>
  <si>
    <r>
      <t>ТК</t>
    </r>
    <r>
      <rPr>
        <sz val="10"/>
        <color indexed="10"/>
        <rFont val="Arial Cyr"/>
        <charset val="204"/>
      </rPr>
      <t>Д</t>
    </r>
  </si>
  <si>
    <t>1.2.4</t>
  </si>
  <si>
    <t>1.2.5</t>
  </si>
  <si>
    <t>1.2.6</t>
  </si>
  <si>
    <t>1.2.7</t>
  </si>
  <si>
    <t>1.2.8</t>
  </si>
  <si>
    <t>1.2.9</t>
  </si>
  <si>
    <t>1.2.10</t>
  </si>
  <si>
    <t>1.3.5</t>
  </si>
  <si>
    <t>1.3.6</t>
  </si>
  <si>
    <t>1.3.7</t>
  </si>
  <si>
    <t>1.3.8</t>
  </si>
  <si>
    <t>1.4.5</t>
  </si>
  <si>
    <t>1.4.6</t>
  </si>
  <si>
    <t>1.4.7</t>
  </si>
  <si>
    <t>1.4.8</t>
  </si>
  <si>
    <t>1.4.9</t>
  </si>
  <si>
    <t>1.4.10</t>
  </si>
  <si>
    <t>2.2.6</t>
  </si>
  <si>
    <t>2.2.7</t>
  </si>
  <si>
    <t>2.2.8</t>
  </si>
  <si>
    <t>2.3.4</t>
  </si>
  <si>
    <t>2.3.5</t>
  </si>
  <si>
    <t>2.3.6</t>
  </si>
  <si>
    <t>2.3.7</t>
  </si>
  <si>
    <t>2.3.8</t>
  </si>
  <si>
    <t>2.3.9</t>
  </si>
  <si>
    <t>2.3.10</t>
  </si>
  <si>
    <t>2.5.8</t>
  </si>
  <si>
    <t>2.5.9</t>
  </si>
  <si>
    <t>1.2.11</t>
  </si>
  <si>
    <t>3.1.11</t>
  </si>
  <si>
    <t>4.1.11</t>
  </si>
  <si>
    <t>4.1.12</t>
  </si>
  <si>
    <r>
      <t>ТКД</t>
    </r>
    <r>
      <rPr>
        <sz val="10"/>
        <color rgb="FFFF0000"/>
        <rFont val="Arial Cyr"/>
        <charset val="204"/>
      </rPr>
      <t>В</t>
    </r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</si>
  <si>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</si>
  <si>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</si>
  <si>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</si>
  <si>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</si>
  <si>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</si>
  <si>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</si>
  <si>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</si>
  <si>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</si>
  <si>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</si>
  <si>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ТK</t>
  </si>
  <si>
    <t>3.1.12</t>
  </si>
  <si>
    <t>3.1.13</t>
  </si>
  <si>
    <t>3.1.14</t>
  </si>
  <si>
    <t>3.1.15</t>
  </si>
  <si>
    <t>3.1.16</t>
  </si>
  <si>
    <t>6.1.7</t>
  </si>
  <si>
    <t>6.1.8</t>
  </si>
  <si>
    <t>6.1.9</t>
  </si>
  <si>
    <t>6.1.10</t>
  </si>
  <si>
    <t>6.1.11</t>
  </si>
  <si>
    <t>6.1.12</t>
  </si>
  <si>
    <r>
      <t>ТК</t>
    </r>
    <r>
      <rPr>
        <sz val="10"/>
        <rFont val="Arial Cyr"/>
        <charset val="204"/>
      </rPr>
      <t>хх</t>
    </r>
  </si>
  <si>
    <r>
      <t>ТК</t>
    </r>
    <r>
      <rPr>
        <sz val="10"/>
        <rFont val="Arial Cyr"/>
        <charset val="204"/>
      </rPr>
      <t>xх</t>
    </r>
    <r>
      <rPr>
        <sz val="10"/>
        <color indexed="10"/>
        <rFont val="Arial Cyr"/>
        <charset val="204"/>
      </rPr>
      <t>(КДВ10)
(ТДВ10)</t>
    </r>
  </si>
  <si>
    <t>4.1.22</t>
  </si>
  <si>
    <t>4.1.23</t>
  </si>
  <si>
    <t>4.1.24</t>
  </si>
  <si>
    <r>
      <rPr>
        <sz val="10"/>
        <color rgb="FFFF0000"/>
        <rFont val="Arial Cyr"/>
        <charset val="204"/>
      </rPr>
      <t>ТК</t>
    </r>
    <r>
      <rPr>
        <sz val="10"/>
        <rFont val="Arial Cyr"/>
        <charset val="204"/>
      </rPr>
      <t>х</t>
    </r>
  </si>
  <si>
    <r>
      <rPr>
        <sz val="10"/>
        <color rgb="FFFF0000"/>
        <rFont val="Arial Cyr"/>
        <charset val="204"/>
      </rPr>
      <t>Т</t>
    </r>
  </si>
  <si>
    <t>4.1.25</t>
  </si>
  <si>
    <t>4.1.26</t>
  </si>
  <si>
    <t>4.1.27</t>
  </si>
  <si>
    <t>4.1.28</t>
  </si>
  <si>
    <t>4.1.29</t>
  </si>
  <si>
    <t>4.1.30</t>
  </si>
  <si>
    <t>4.1.31</t>
  </si>
  <si>
    <r>
      <rPr>
        <sz val="10"/>
        <color rgb="FFFF0000"/>
        <rFont val="Arial Cyr"/>
        <charset val="204"/>
      </rPr>
      <t>ТК</t>
    </r>
  </si>
  <si>
    <t>4.1.32</t>
  </si>
  <si>
    <t>4.1.33</t>
  </si>
  <si>
    <t>4.1.34</t>
  </si>
  <si>
    <t>4.1.35</t>
  </si>
  <si>
    <t>3) 4 к. одной масти + 4 к. 
др.масти + еще 2 карты</t>
  </si>
  <si>
    <t>4) 4 к. одной масти + 3 к. 
др.масти + еще 3 карты</t>
  </si>
  <si>
    <t>5) 4 к. одной масти + еще 
2 карты в 3-х мастях</t>
  </si>
  <si>
    <t>6) 3 к. одной масти + 3 к. 
др.масти + еще 4 карты</t>
  </si>
  <si>
    <t>2) 5 к. одной масти + 5 карт</t>
  </si>
  <si>
    <t>1) 6 к. одной масти + 4 карты</t>
  </si>
  <si>
    <r>
      <t>ТК</t>
    </r>
    <r>
      <rPr>
        <sz val="10"/>
        <rFont val="Arial Cyr"/>
        <charset val="204"/>
      </rPr>
      <t>х</t>
    </r>
    <r>
      <rPr>
        <sz val="10"/>
        <color indexed="10"/>
        <rFont val="Arial Cyr"/>
        <charset val="204"/>
      </rPr>
      <t xml:space="preserve"> (ТДВ)</t>
    </r>
  </si>
  <si>
    <r>
      <t>ТК</t>
    </r>
    <r>
      <rPr>
        <sz val="10"/>
        <rFont val="Arial Cyr"/>
        <charset val="204"/>
      </rPr>
      <t>xх</t>
    </r>
    <r>
      <rPr>
        <sz val="10"/>
        <color indexed="10"/>
        <rFont val="Arial Cyr"/>
        <charset val="204"/>
      </rPr>
      <t xml:space="preserve">
(ТДВ10)</t>
    </r>
  </si>
  <si>
    <r>
      <t>Таблица 1. Расчет количества ситуаций "расклады для 9/10-ных контрактов на 2/3-й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 xml:space="preserve">руках (с раздачи)" для объявленного на 1-й руке мизера на 12 картах(10 карт + прикуп): </t>
    </r>
    <r>
      <rPr>
        <b/>
        <sz val="10"/>
        <color rgb="FF0000FF"/>
        <rFont val="Arial Cyr"/>
        <charset val="204"/>
      </rPr>
      <t>Д10_98_10987_10987</t>
    </r>
    <r>
      <rPr>
        <b/>
        <sz val="10"/>
        <rFont val="Arial Cyr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</si>
</sst>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46" x14ac:knownFonts="1">
    <font>
      <sz val="10"/>
      <name val="Arial Cyr"/>
      <charset val="204"/>
    </font>
    <font>
      <sz val="8"/>
      <color indexed="81"/>
      <name val="Tahoma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12"/>
      <name val="Arial Cyr"/>
      <charset val="204"/>
    </font>
    <font>
      <b/>
      <sz val="10"/>
      <color indexed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9"/>
      <color indexed="10"/>
      <name val="Courier New"/>
      <family val="3"/>
      <charset val="204"/>
    </font>
    <font>
      <sz val="9"/>
      <color indexed="8"/>
      <name val="Courier New"/>
      <family val="3"/>
      <charset val="204"/>
    </font>
    <font>
      <sz val="11"/>
      <color indexed="12"/>
      <name val="Calibri"/>
      <family val="2"/>
      <charset val="204"/>
    </font>
    <font>
      <b/>
      <sz val="9"/>
      <color indexed="36"/>
      <name val="Courier New"/>
      <family val="3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8"/>
      <color indexed="81"/>
      <name val="Tahoma"/>
      <charset val="204"/>
    </font>
    <font>
      <sz val="8"/>
      <color indexed="81"/>
      <name val="Tahoma"/>
      <charset val="1"/>
    </font>
    <font>
      <b/>
      <sz val="8"/>
      <color indexed="10"/>
      <name val="Tahoma"/>
      <family val="2"/>
      <charset val="204"/>
    </font>
    <font>
      <b/>
      <sz val="11"/>
      <name val="Arial Cyr"/>
      <charset val="204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10"/>
      <name val="Arial Cyr"/>
      <charset val="204"/>
    </font>
    <font>
      <b/>
      <sz val="9"/>
      <color indexed="56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b/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9"/>
      <color rgb="FF000000"/>
      <name val="Courier New"/>
      <family val="3"/>
      <charset val="204"/>
    </font>
    <font>
      <sz val="11"/>
      <color rgb="FF0000FF"/>
      <name val="Calibri"/>
      <family val="2"/>
      <charset val="204"/>
      <scheme val="minor"/>
    </font>
    <font>
      <b/>
      <sz val="11"/>
      <color theme="7" tint="-0.249977111117893"/>
      <name val="Calibri"/>
      <family val="2"/>
      <charset val="204"/>
      <scheme val="minor"/>
    </font>
    <font>
      <sz val="9"/>
      <color theme="1"/>
      <name val="Courier New"/>
      <family val="3"/>
      <charset val="204"/>
    </font>
    <font>
      <sz val="10"/>
      <color rgb="FF0000FF"/>
      <name val="Arial Cyr"/>
      <charset val="204"/>
    </font>
    <font>
      <sz val="10"/>
      <color rgb="FFFF0000"/>
      <name val="Arial Cyr"/>
      <charset val="204"/>
    </font>
    <font>
      <b/>
      <sz val="10"/>
      <color rgb="FF0000FF"/>
      <name val="Arial Cyr"/>
      <charset val="204"/>
    </font>
    <font>
      <b/>
      <sz val="10"/>
      <color rgb="FF0070C0"/>
      <name val="Arial Cyr"/>
      <charset val="204"/>
    </font>
    <font>
      <b/>
      <sz val="10"/>
      <color rgb="FF0000FF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b/>
      <u/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</borders>
  <cellStyleXfs count="2">
    <xf numFmtId="0" fontId="0" fillId="0" borderId="0"/>
    <xf numFmtId="0" fontId="26" fillId="0" borderId="0"/>
  </cellStyleXfs>
  <cellXfs count="5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49" fontId="2" fillId="0" borderId="2" xfId="0" quotePrefix="1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49" fontId="0" fillId="0" borderId="3" xfId="0" applyNumberFormat="1" applyBorder="1" applyAlignment="1">
      <alignment horizontal="center" vertical="center"/>
    </xf>
    <xf numFmtId="49" fontId="2" fillId="0" borderId="3" xfId="0" quotePrefix="1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0" fillId="0" borderId="3" xfId="0" quotePrefix="1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2" fillId="0" borderId="4" xfId="0" quotePrefix="1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quotePrefix="1" applyNumberFormat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2" fillId="0" borderId="3" xfId="0" quotePrefix="1" applyNumberFormat="1" applyFont="1" applyFill="1" applyBorder="1" applyAlignment="1">
      <alignment horizontal="center" vertical="center"/>
    </xf>
    <xf numFmtId="49" fontId="2" fillId="0" borderId="3" xfId="0" quotePrefix="1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49" fontId="2" fillId="0" borderId="4" xfId="0" quotePrefix="1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horizontal="right" vertical="center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8" fillId="0" borderId="11" xfId="0" applyFont="1" applyBorder="1"/>
    <xf numFmtId="49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/>
    <xf numFmtId="49" fontId="2" fillId="0" borderId="12" xfId="0" quotePrefix="1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3" xfId="0" quotePrefix="1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26" fillId="0" borderId="0" xfId="1"/>
    <xf numFmtId="0" fontId="27" fillId="0" borderId="0" xfId="1" applyFont="1" applyAlignment="1">
      <alignment vertical="center"/>
    </xf>
    <xf numFmtId="0" fontId="27" fillId="0" borderId="0" xfId="1" applyFont="1"/>
    <xf numFmtId="0" fontId="27" fillId="0" borderId="0" xfId="1" applyFont="1" applyAlignment="1">
      <alignment horizontal="center" vertical="center"/>
    </xf>
    <xf numFmtId="0" fontId="30" fillId="0" borderId="25" xfId="1" applyFont="1" applyBorder="1" applyAlignment="1">
      <alignment horizontal="center" vertical="center"/>
    </xf>
    <xf numFmtId="0" fontId="27" fillId="0" borderId="25" xfId="1" applyFont="1" applyBorder="1" applyAlignment="1">
      <alignment horizontal="center"/>
    </xf>
    <xf numFmtId="0" fontId="31" fillId="0" borderId="0" xfId="1" applyFont="1"/>
    <xf numFmtId="0" fontId="32" fillId="0" borderId="30" xfId="1" applyFont="1" applyBorder="1" applyAlignment="1">
      <alignment horizontal="center" vertical="center"/>
    </xf>
    <xf numFmtId="0" fontId="27" fillId="0" borderId="31" xfId="1" applyFont="1" applyBorder="1" applyAlignment="1">
      <alignment horizontal="center"/>
    </xf>
    <xf numFmtId="0" fontId="26" fillId="0" borderId="31" xfId="1" applyFont="1" applyBorder="1" applyAlignment="1">
      <alignment horizontal="center"/>
    </xf>
    <xf numFmtId="0" fontId="27" fillId="0" borderId="32" xfId="1" applyFont="1" applyBorder="1"/>
    <xf numFmtId="0" fontId="27" fillId="0" borderId="33" xfId="1" applyFont="1" applyBorder="1"/>
    <xf numFmtId="0" fontId="27" fillId="0" borderId="34" xfId="1" applyFont="1" applyBorder="1"/>
    <xf numFmtId="0" fontId="33" fillId="0" borderId="0" xfId="1" applyFont="1"/>
    <xf numFmtId="0" fontId="32" fillId="0" borderId="16" xfId="1" applyFont="1" applyBorder="1" applyAlignment="1">
      <alignment horizontal="center" vertical="center"/>
    </xf>
    <xf numFmtId="0" fontId="27" fillId="0" borderId="35" xfId="1" applyFont="1" applyBorder="1" applyAlignment="1">
      <alignment horizontal="center"/>
    </xf>
    <xf numFmtId="0" fontId="26" fillId="0" borderId="35" xfId="1" applyFont="1" applyBorder="1" applyAlignment="1">
      <alignment horizontal="center"/>
    </xf>
    <xf numFmtId="0" fontId="27" fillId="0" borderId="36" xfId="1" applyFont="1" applyBorder="1"/>
    <xf numFmtId="0" fontId="27" fillId="0" borderId="1" xfId="1" applyFont="1" applyBorder="1"/>
    <xf numFmtId="0" fontId="30" fillId="2" borderId="1" xfId="1" applyFont="1" applyFill="1" applyBorder="1"/>
    <xf numFmtId="0" fontId="30" fillId="2" borderId="9" xfId="1" applyFont="1" applyFill="1" applyBorder="1"/>
    <xf numFmtId="2" fontId="32" fillId="0" borderId="35" xfId="1" quotePrefix="1" applyNumberFormat="1" applyFont="1" applyBorder="1" applyAlignment="1">
      <alignment horizontal="center"/>
    </xf>
    <xf numFmtId="0" fontId="30" fillId="3" borderId="36" xfId="1" applyFont="1" applyFill="1" applyBorder="1"/>
    <xf numFmtId="0" fontId="30" fillId="3" borderId="1" xfId="1" applyFont="1" applyFill="1" applyBorder="1"/>
    <xf numFmtId="0" fontId="30" fillId="3" borderId="9" xfId="1" applyFont="1" applyFill="1" applyBorder="1"/>
    <xf numFmtId="0" fontId="30" fillId="2" borderId="36" xfId="1" applyFont="1" applyFill="1" applyBorder="1"/>
    <xf numFmtId="0" fontId="30" fillId="4" borderId="1" xfId="1" applyFont="1" applyFill="1" applyBorder="1"/>
    <xf numFmtId="0" fontId="30" fillId="4" borderId="9" xfId="1" applyFont="1" applyFill="1" applyBorder="1"/>
    <xf numFmtId="0" fontId="30" fillId="4" borderId="36" xfId="1" applyFont="1" applyFill="1" applyBorder="1"/>
    <xf numFmtId="0" fontId="27" fillId="0" borderId="9" xfId="1" applyFont="1" applyBorder="1"/>
    <xf numFmtId="0" fontId="32" fillId="0" borderId="20" xfId="1" applyFont="1" applyBorder="1" applyAlignment="1">
      <alignment horizontal="center" vertical="center"/>
    </xf>
    <xf numFmtId="0" fontId="27" fillId="0" borderId="37" xfId="1" applyFont="1" applyBorder="1" applyAlignment="1">
      <alignment horizontal="center"/>
    </xf>
    <xf numFmtId="0" fontId="26" fillId="0" borderId="37" xfId="1" applyFont="1" applyBorder="1" applyAlignment="1">
      <alignment horizontal="center"/>
    </xf>
    <xf numFmtId="0" fontId="27" fillId="0" borderId="38" xfId="1" applyFont="1" applyBorder="1"/>
    <xf numFmtId="0" fontId="27" fillId="0" borderId="2" xfId="1" applyFont="1" applyBorder="1"/>
    <xf numFmtId="0" fontId="27" fillId="0" borderId="39" xfId="1" applyFont="1" applyBorder="1"/>
    <xf numFmtId="0" fontId="30" fillId="0" borderId="25" xfId="1" applyFont="1" applyBorder="1" applyAlignment="1">
      <alignment horizontal="center"/>
    </xf>
    <xf numFmtId="2" fontId="32" fillId="0" borderId="40" xfId="1" applyNumberFormat="1" applyFont="1" applyBorder="1" applyAlignment="1">
      <alignment horizontal="center"/>
    </xf>
    <xf numFmtId="0" fontId="27" fillId="0" borderId="40" xfId="1" applyFont="1" applyBorder="1" applyAlignment="1">
      <alignment horizontal="center"/>
    </xf>
    <xf numFmtId="2" fontId="27" fillId="0" borderId="41" xfId="1" applyNumberFormat="1" applyFont="1" applyBorder="1"/>
    <xf numFmtId="2" fontId="27" fillId="0" borderId="3" xfId="1" applyNumberFormat="1" applyFont="1" applyBorder="1"/>
    <xf numFmtId="2" fontId="27" fillId="0" borderId="10" xfId="1" applyNumberFormat="1" applyFont="1" applyBorder="1"/>
    <xf numFmtId="2" fontId="32" fillId="0" borderId="35" xfId="1" applyNumberFormat="1" applyFont="1" applyBorder="1" applyAlignment="1">
      <alignment horizontal="center"/>
    </xf>
    <xf numFmtId="2" fontId="27" fillId="0" borderId="36" xfId="1" applyNumberFormat="1" applyFont="1" applyBorder="1"/>
    <xf numFmtId="2" fontId="30" fillId="2" borderId="1" xfId="1" applyNumberFormat="1" applyFont="1" applyFill="1" applyBorder="1"/>
    <xf numFmtId="2" fontId="30" fillId="2" borderId="9" xfId="1" applyNumberFormat="1" applyFont="1" applyFill="1" applyBorder="1"/>
    <xf numFmtId="2" fontId="30" fillId="3" borderId="36" xfId="1" applyNumberFormat="1" applyFont="1" applyFill="1" applyBorder="1"/>
    <xf numFmtId="2" fontId="30" fillId="3" borderId="1" xfId="1" applyNumberFormat="1" applyFont="1" applyFill="1" applyBorder="1"/>
    <xf numFmtId="2" fontId="30" fillId="3" borderId="9" xfId="1" applyNumberFormat="1" applyFont="1" applyFill="1" applyBorder="1"/>
    <xf numFmtId="2" fontId="30" fillId="2" borderId="36" xfId="1" applyNumberFormat="1" applyFont="1" applyFill="1" applyBorder="1"/>
    <xf numFmtId="2" fontId="30" fillId="4" borderId="1" xfId="1" applyNumberFormat="1" applyFont="1" applyFill="1" applyBorder="1"/>
    <xf numFmtId="2" fontId="30" fillId="4" borderId="9" xfId="1" applyNumberFormat="1" applyFont="1" applyFill="1" applyBorder="1"/>
    <xf numFmtId="2" fontId="30" fillId="4" borderId="36" xfId="1" applyNumberFormat="1" applyFont="1" applyFill="1" applyBorder="1"/>
    <xf numFmtId="2" fontId="27" fillId="0" borderId="1" xfId="1" applyNumberFormat="1" applyFont="1" applyBorder="1"/>
    <xf numFmtId="2" fontId="27" fillId="0" borderId="9" xfId="1" applyNumberFormat="1" applyFont="1" applyBorder="1"/>
    <xf numFmtId="2" fontId="32" fillId="0" borderId="37" xfId="1" applyNumberFormat="1" applyFont="1" applyBorder="1" applyAlignment="1">
      <alignment horizontal="center"/>
    </xf>
    <xf numFmtId="2" fontId="27" fillId="0" borderId="38" xfId="1" applyNumberFormat="1" applyFont="1" applyBorder="1"/>
    <xf numFmtId="2" fontId="27" fillId="0" borderId="2" xfId="1" applyNumberFormat="1" applyFont="1" applyBorder="1"/>
    <xf numFmtId="2" fontId="27" fillId="0" borderId="39" xfId="1" applyNumberFormat="1" applyFont="1" applyBorder="1"/>
    <xf numFmtId="0" fontId="27" fillId="0" borderId="0" xfId="1" applyFont="1" applyBorder="1" applyAlignment="1">
      <alignment horizontal="center"/>
    </xf>
    <xf numFmtId="0" fontId="26" fillId="0" borderId="21" xfId="1" quotePrefix="1" applyBorder="1" applyAlignment="1">
      <alignment horizontal="center" wrapText="1"/>
    </xf>
    <xf numFmtId="0" fontId="26" fillId="0" borderId="25" xfId="1" applyBorder="1" applyAlignment="1">
      <alignment horizontal="center" wrapText="1"/>
    </xf>
    <xf numFmtId="0" fontId="34" fillId="0" borderId="0" xfId="1" applyFont="1" applyAlignment="1">
      <alignment horizontal="center"/>
    </xf>
    <xf numFmtId="0" fontId="26" fillId="0" borderId="18" xfId="1" applyBorder="1" applyAlignment="1">
      <alignment horizontal="center"/>
    </xf>
    <xf numFmtId="165" fontId="26" fillId="0" borderId="40" xfId="1" applyNumberFormat="1" applyBorder="1" applyAlignment="1">
      <alignment horizontal="center"/>
    </xf>
    <xf numFmtId="165" fontId="35" fillId="0" borderId="0" xfId="1" applyNumberFormat="1" applyFont="1"/>
    <xf numFmtId="165" fontId="35" fillId="0" borderId="0" xfId="1" applyNumberFormat="1" applyFont="1" applyBorder="1"/>
    <xf numFmtId="165" fontId="26" fillId="0" borderId="31" xfId="1" applyNumberFormat="1" applyBorder="1" applyAlignment="1">
      <alignment horizontal="center"/>
    </xf>
    <xf numFmtId="0" fontId="26" fillId="0" borderId="16" xfId="1" applyBorder="1" applyAlignment="1">
      <alignment horizontal="center"/>
    </xf>
    <xf numFmtId="165" fontId="26" fillId="0" borderId="0" xfId="1" applyNumberFormat="1"/>
    <xf numFmtId="165" fontId="26" fillId="0" borderId="0" xfId="1" applyNumberFormat="1" applyBorder="1"/>
    <xf numFmtId="0" fontId="26" fillId="0" borderId="20" xfId="1" applyBorder="1" applyAlignment="1">
      <alignment horizontal="center"/>
    </xf>
    <xf numFmtId="165" fontId="26" fillId="0" borderId="42" xfId="1" applyNumberFormat="1" applyBorder="1" applyAlignment="1">
      <alignment horizontal="center"/>
    </xf>
    <xf numFmtId="0" fontId="28" fillId="0" borderId="0" xfId="1" applyFont="1" applyAlignment="1">
      <alignment horizontal="center"/>
    </xf>
    <xf numFmtId="0" fontId="36" fillId="0" borderId="0" xfId="1" applyFont="1"/>
    <xf numFmtId="0" fontId="0" fillId="0" borderId="43" xfId="0" applyBorder="1" applyAlignment="1">
      <alignment horizontal="left" vertical="center"/>
    </xf>
    <xf numFmtId="0" fontId="6" fillId="0" borderId="40" xfId="0" applyFont="1" applyBorder="1" applyAlignment="1">
      <alignment horizontal="center"/>
    </xf>
    <xf numFmtId="0" fontId="0" fillId="0" borderId="44" xfId="0" applyFill="1" applyBorder="1" applyAlignment="1">
      <alignment horizontal="center" vertical="center"/>
    </xf>
    <xf numFmtId="1" fontId="0" fillId="0" borderId="40" xfId="0" applyNumberFormat="1" applyBorder="1" applyAlignment="1">
      <alignment horizontal="center"/>
    </xf>
    <xf numFmtId="0" fontId="0" fillId="0" borderId="43" xfId="0" applyBorder="1" applyAlignment="1">
      <alignment horizontal="left"/>
    </xf>
    <xf numFmtId="49" fontId="7" fillId="0" borderId="3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6" fillId="0" borderId="46" xfId="0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0" fontId="6" fillId="0" borderId="11" xfId="0" applyFont="1" applyBorder="1"/>
    <xf numFmtId="0" fontId="6" fillId="0" borderId="40" xfId="0" applyFon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0" fillId="0" borderId="3" xfId="0" quotePrefix="1" applyNumberFormat="1" applyFill="1" applyBorder="1" applyAlignment="1">
      <alignment horizontal="center" vertical="center"/>
    </xf>
    <xf numFmtId="0" fontId="6" fillId="0" borderId="10" xfId="0" applyFont="1" applyFill="1" applyBorder="1"/>
    <xf numFmtId="0" fontId="0" fillId="0" borderId="0" xfId="0" applyFill="1"/>
    <xf numFmtId="0" fontId="0" fillId="0" borderId="18" xfId="0" applyFill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6" fillId="0" borderId="35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47" xfId="0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" fontId="0" fillId="0" borderId="35" xfId="0" applyNumberForma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49" fontId="0" fillId="5" borderId="3" xfId="0" applyNumberForma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" fontId="0" fillId="0" borderId="40" xfId="0" applyNumberForma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/>
    </xf>
    <xf numFmtId="49" fontId="2" fillId="0" borderId="4" xfId="0" quotePrefix="1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" fontId="0" fillId="0" borderId="46" xfId="0" applyNumberFormat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left" vertical="center"/>
    </xf>
    <xf numFmtId="49" fontId="0" fillId="5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" fontId="0" fillId="0" borderId="42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7" fillId="0" borderId="0" xfId="0" applyNumberFormat="1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2" fontId="0" fillId="0" borderId="3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2" fontId="0" fillId="0" borderId="52" xfId="0" applyNumberForma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0" fontId="0" fillId="5" borderId="18" xfId="0" applyFill="1" applyBorder="1" applyAlignment="1">
      <alignment horizontal="center" vertical="center"/>
    </xf>
    <xf numFmtId="2" fontId="6" fillId="0" borderId="52" xfId="0" applyNumberFormat="1" applyFon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49" fontId="0" fillId="5" borderId="3" xfId="0" applyNumberForma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6" fillId="0" borderId="56" xfId="0" applyFont="1" applyBorder="1" applyAlignment="1">
      <alignment wrapText="1"/>
    </xf>
    <xf numFmtId="0" fontId="6" fillId="0" borderId="56" xfId="0" applyFont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6" fillId="0" borderId="58" xfId="0" applyFont="1" applyBorder="1" applyAlignment="1">
      <alignment wrapText="1"/>
    </xf>
    <xf numFmtId="0" fontId="6" fillId="0" borderId="58" xfId="0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/>
    </xf>
    <xf numFmtId="164" fontId="6" fillId="0" borderId="60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61" xfId="0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0" fontId="6" fillId="0" borderId="39" xfId="0" applyFont="1" applyBorder="1"/>
    <xf numFmtId="0" fontId="6" fillId="0" borderId="29" xfId="0" applyFont="1" applyBorder="1"/>
    <xf numFmtId="164" fontId="0" fillId="0" borderId="0" xfId="0" applyNumberFormat="1"/>
    <xf numFmtId="164" fontId="3" fillId="0" borderId="0" xfId="0" applyNumberFormat="1" applyFont="1"/>
    <xf numFmtId="164" fontId="38" fillId="0" borderId="0" xfId="0" applyNumberFormat="1" applyFont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49" fontId="38" fillId="0" borderId="3" xfId="0" quotePrefix="1" applyNumberFormat="1" applyFont="1" applyFill="1" applyBorder="1" applyAlignment="1">
      <alignment horizontal="center" vertical="center" wrapText="1"/>
    </xf>
    <xf numFmtId="49" fontId="38" fillId="0" borderId="4" xfId="0" quotePrefix="1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58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21" fillId="3" borderId="0" xfId="0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49" fontId="38" fillId="0" borderId="1" xfId="0" quotePrefix="1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left" vertical="center"/>
    </xf>
    <xf numFmtId="49" fontId="0" fillId="0" borderId="65" xfId="0" applyNumberFormat="1" applyFill="1" applyBorder="1" applyAlignment="1">
      <alignment horizontal="center" vertical="center"/>
    </xf>
    <xf numFmtId="49" fontId="38" fillId="0" borderId="65" xfId="0" quotePrefix="1" applyNumberFormat="1" applyFont="1" applyFill="1" applyBorder="1" applyAlignment="1">
      <alignment horizontal="center" vertical="center" wrapText="1"/>
    </xf>
    <xf numFmtId="49" fontId="2" fillId="0" borderId="65" xfId="0" quotePrefix="1" applyNumberFormat="1" applyFont="1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6" fillId="5" borderId="22" xfId="0" applyFont="1" applyFill="1" applyBorder="1" applyAlignment="1">
      <alignment horizontal="left" vertical="center" wrapText="1"/>
    </xf>
    <xf numFmtId="0" fontId="6" fillId="5" borderId="23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 wrapText="1"/>
    </xf>
    <xf numFmtId="0" fontId="0" fillId="7" borderId="69" xfId="0" applyFill="1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45" xfId="0" applyFill="1" applyBorder="1" applyAlignment="1">
      <alignment vertical="center" wrapText="1"/>
    </xf>
    <xf numFmtId="2" fontId="40" fillId="0" borderId="4" xfId="0" applyNumberFormat="1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0" fontId="0" fillId="7" borderId="43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7" borderId="50" xfId="0" applyFill="1" applyBorder="1" applyAlignment="1">
      <alignment vertical="center" wrapText="1"/>
    </xf>
    <xf numFmtId="2" fontId="29" fillId="0" borderId="2" xfId="0" applyNumberFormat="1" applyFont="1" applyBorder="1" applyAlignment="1">
      <alignment horizontal="center" vertical="center"/>
    </xf>
    <xf numFmtId="2" fontId="29" fillId="0" borderId="39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38" fillId="0" borderId="3" xfId="0" applyNumberFormat="1" applyFont="1" applyBorder="1" applyAlignment="1">
      <alignment horizontal="center" vertical="center"/>
    </xf>
    <xf numFmtId="49" fontId="2" fillId="0" borderId="2" xfId="0" quotePrefix="1" applyNumberFormat="1" applyFont="1" applyBorder="1" applyAlignment="1">
      <alignment horizontal="center" vertical="center"/>
    </xf>
    <xf numFmtId="49" fontId="2" fillId="0" borderId="2" xfId="0" quotePrefix="1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left" vertical="center"/>
    </xf>
    <xf numFmtId="49" fontId="2" fillId="0" borderId="28" xfId="0" quotePrefix="1" applyNumberFormat="1" applyFont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/>
    </xf>
    <xf numFmtId="49" fontId="0" fillId="0" borderId="28" xfId="0" quotePrefix="1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9" fontId="0" fillId="0" borderId="79" xfId="0" applyNumberFormat="1" applyFill="1" applyBorder="1" applyAlignment="1">
      <alignment horizontal="center" vertical="center"/>
    </xf>
    <xf numFmtId="49" fontId="2" fillId="0" borderId="79" xfId="0" quotePrefix="1" applyNumberFormat="1" applyFont="1" applyFill="1" applyBorder="1" applyAlignment="1">
      <alignment horizontal="center" vertical="center"/>
    </xf>
    <xf numFmtId="49" fontId="2" fillId="0" borderId="79" xfId="0" quotePrefix="1" applyNumberFormat="1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49" fontId="38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38" fillId="0" borderId="3" xfId="0" applyNumberFormat="1" applyFont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 wrapText="1"/>
    </xf>
    <xf numFmtId="49" fontId="38" fillId="0" borderId="1" xfId="0" applyNumberFormat="1" applyFont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/>
    </xf>
    <xf numFmtId="49" fontId="38" fillId="0" borderId="3" xfId="0" applyNumberFormat="1" applyFont="1" applyFill="1" applyBorder="1" applyAlignment="1">
      <alignment horizontal="center" vertical="center"/>
    </xf>
    <xf numFmtId="49" fontId="38" fillId="0" borderId="2" xfId="0" applyNumberFormat="1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6" fillId="0" borderId="78" xfId="0" applyFont="1" applyFill="1" applyBorder="1" applyAlignment="1">
      <alignment horizontal="left" vertical="center"/>
    </xf>
    <xf numFmtId="0" fontId="6" fillId="0" borderId="43" xfId="0" applyFont="1" applyBorder="1" applyAlignment="1">
      <alignment horizontal="left" vertical="center" wrapText="1"/>
    </xf>
    <xf numFmtId="0" fontId="0" fillId="0" borderId="64" xfId="0" applyBorder="1" applyAlignment="1">
      <alignment horizontal="left" vertical="center"/>
    </xf>
    <xf numFmtId="49" fontId="2" fillId="0" borderId="65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/>
    </xf>
    <xf numFmtId="0" fontId="6" fillId="0" borderId="61" xfId="0" applyFont="1" applyBorder="1" applyAlignment="1">
      <alignment horizontal="left" vertical="center" wrapText="1"/>
    </xf>
    <xf numFmtId="49" fontId="2" fillId="0" borderId="28" xfId="0" quotePrefix="1" applyNumberFormat="1" applyFont="1" applyFill="1" applyBorder="1" applyAlignment="1">
      <alignment horizontal="center" vertical="center" wrapText="1"/>
    </xf>
    <xf numFmtId="0" fontId="0" fillId="0" borderId="81" xfId="0" applyBorder="1" applyAlignment="1">
      <alignment horizontal="left" vertical="center"/>
    </xf>
    <xf numFmtId="49" fontId="0" fillId="0" borderId="82" xfId="0" applyNumberFormat="1" applyBorder="1" applyAlignment="1">
      <alignment horizontal="center" vertical="center"/>
    </xf>
    <xf numFmtId="49" fontId="2" fillId="0" borderId="82" xfId="0" quotePrefix="1" applyNumberFormat="1" applyFont="1" applyBorder="1" applyAlignment="1">
      <alignment horizontal="center" vertical="center"/>
    </xf>
    <xf numFmtId="49" fontId="0" fillId="0" borderId="82" xfId="0" applyNumberFormat="1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0" fillId="0" borderId="82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9" fontId="0" fillId="0" borderId="82" xfId="0" applyNumberFormat="1" applyFill="1" applyBorder="1" applyAlignment="1">
      <alignment horizontal="center" vertical="center"/>
    </xf>
    <xf numFmtId="49" fontId="38" fillId="0" borderId="1" xfId="0" quotePrefix="1" applyNumberFormat="1" applyFont="1" applyBorder="1" applyAlignment="1">
      <alignment horizontal="center" vertical="center"/>
    </xf>
    <xf numFmtId="49" fontId="2" fillId="0" borderId="82" xfId="0" applyNumberFormat="1" applyFont="1" applyFill="1" applyBorder="1" applyAlignment="1">
      <alignment horizontal="center" vertical="center"/>
    </xf>
    <xf numFmtId="0" fontId="0" fillId="0" borderId="84" xfId="0" applyBorder="1" applyAlignment="1">
      <alignment horizontal="left" vertical="center"/>
    </xf>
    <xf numFmtId="49" fontId="0" fillId="0" borderId="85" xfId="0" applyNumberFormat="1" applyBorder="1" applyAlignment="1">
      <alignment horizontal="center" vertical="center"/>
    </xf>
    <xf numFmtId="49" fontId="2" fillId="0" borderId="85" xfId="0" quotePrefix="1" applyNumberFormat="1" applyFont="1" applyBorder="1" applyAlignment="1">
      <alignment horizontal="center" vertical="center"/>
    </xf>
    <xf numFmtId="49" fontId="0" fillId="0" borderId="85" xfId="0" applyNumberFormat="1" applyFill="1" applyBorder="1" applyAlignment="1">
      <alignment horizontal="center" vertical="center"/>
    </xf>
    <xf numFmtId="49" fontId="2" fillId="0" borderId="85" xfId="0" applyNumberFormat="1" applyFont="1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49" fontId="7" fillId="0" borderId="85" xfId="0" applyNumberFormat="1" applyFont="1" applyFill="1" applyBorder="1" applyAlignment="1">
      <alignment horizontal="center" vertical="center"/>
    </xf>
    <xf numFmtId="49" fontId="7" fillId="0" borderId="82" xfId="0" applyNumberFormat="1" applyFont="1" applyBorder="1" applyAlignment="1">
      <alignment horizontal="center" vertical="center"/>
    </xf>
    <xf numFmtId="49" fontId="0" fillId="0" borderId="82" xfId="0" quotePrefix="1" applyNumberFormat="1" applyBorder="1" applyAlignment="1">
      <alignment horizontal="center" vertical="center"/>
    </xf>
    <xf numFmtId="49" fontId="7" fillId="0" borderId="65" xfId="0" applyNumberFormat="1" applyFont="1" applyFill="1" applyBorder="1" applyAlignment="1">
      <alignment horizontal="center" vertical="center"/>
    </xf>
    <xf numFmtId="49" fontId="2" fillId="0" borderId="82" xfId="0" quotePrefix="1" applyNumberFormat="1" applyFont="1" applyFill="1" applyBorder="1" applyAlignment="1">
      <alignment horizontal="center" vertical="center"/>
    </xf>
    <xf numFmtId="49" fontId="2" fillId="0" borderId="82" xfId="0" quotePrefix="1" applyNumberFormat="1" applyFont="1" applyFill="1" applyBorder="1" applyAlignment="1">
      <alignment horizontal="center" vertical="center" wrapText="1"/>
    </xf>
    <xf numFmtId="49" fontId="38" fillId="0" borderId="82" xfId="0" applyNumberFormat="1" applyFont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49" fontId="2" fillId="0" borderId="82" xfId="0" applyNumberFormat="1" applyFon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0" fillId="0" borderId="3" xfId="0" quotePrefix="1" applyNumberFormat="1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49" fontId="0" fillId="0" borderId="82" xfId="0" applyNumberForma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/>
    </xf>
    <xf numFmtId="0" fontId="0" fillId="0" borderId="87" xfId="0" applyBorder="1" applyAlignment="1">
      <alignment horizontal="left" vertical="center"/>
    </xf>
    <xf numFmtId="49" fontId="0" fillId="0" borderId="88" xfId="0" applyNumberFormat="1" applyFill="1" applyBorder="1" applyAlignment="1">
      <alignment horizontal="center" vertical="center" wrapText="1"/>
    </xf>
    <xf numFmtId="49" fontId="2" fillId="0" borderId="88" xfId="0" quotePrefix="1" applyNumberFormat="1" applyFont="1" applyFill="1" applyBorder="1" applyAlignment="1">
      <alignment horizontal="center" vertical="center"/>
    </xf>
    <xf numFmtId="49" fontId="38" fillId="0" borderId="88" xfId="0" applyNumberFormat="1" applyFont="1" applyBorder="1" applyAlignment="1">
      <alignment horizontal="center" vertical="center" wrapText="1"/>
    </xf>
    <xf numFmtId="49" fontId="2" fillId="0" borderId="88" xfId="0" applyNumberFormat="1" applyFont="1" applyBorder="1" applyAlignment="1">
      <alignment horizontal="center" vertical="center" wrapText="1"/>
    </xf>
    <xf numFmtId="49" fontId="0" fillId="0" borderId="88" xfId="0" applyNumberForma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6" fillId="0" borderId="90" xfId="0" applyFont="1" applyBorder="1" applyAlignment="1">
      <alignment horizontal="left" vertical="center" wrapText="1"/>
    </xf>
    <xf numFmtId="49" fontId="0" fillId="0" borderId="91" xfId="0" applyNumberFormat="1" applyFill="1" applyBorder="1" applyAlignment="1">
      <alignment horizontal="center" vertical="center"/>
    </xf>
    <xf numFmtId="49" fontId="2" fillId="0" borderId="91" xfId="0" applyNumberFormat="1" applyFont="1" applyBorder="1" applyAlignment="1">
      <alignment horizontal="center" vertical="center" wrapText="1"/>
    </xf>
    <xf numFmtId="49" fontId="2" fillId="0" borderId="91" xfId="0" applyNumberFormat="1" applyFont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6" fillId="0" borderId="50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/>
    </xf>
    <xf numFmtId="49" fontId="2" fillId="0" borderId="72" xfId="0" applyNumberFormat="1" applyFont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38" fillId="0" borderId="72" xfId="0" applyNumberFormat="1" applyFont="1" applyBorder="1" applyAlignment="1">
      <alignment horizontal="center" vertical="center"/>
    </xf>
    <xf numFmtId="49" fontId="2" fillId="0" borderId="85" xfId="0" quotePrefix="1" applyNumberFormat="1" applyFont="1" applyFill="1" applyBorder="1" applyAlignment="1">
      <alignment horizontal="center" vertical="center"/>
    </xf>
    <xf numFmtId="49" fontId="2" fillId="0" borderId="85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2" fillId="0" borderId="28" xfId="0" quotePrefix="1" applyNumberFormat="1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2" fillId="3" borderId="3" xfId="0" quotePrefix="1" applyNumberFormat="1" applyFont="1" applyFill="1" applyBorder="1" applyAlignment="1">
      <alignment horizontal="center" vertical="center" wrapText="1"/>
    </xf>
    <xf numFmtId="49" fontId="2" fillId="3" borderId="1" xfId="0" quotePrefix="1" applyNumberFormat="1" applyFont="1" applyFill="1" applyBorder="1" applyAlignment="1">
      <alignment horizontal="center" vertical="center" wrapText="1"/>
    </xf>
    <xf numFmtId="49" fontId="2" fillId="3" borderId="82" xfId="0" quotePrefix="1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91" xfId="0" quotePrefix="1" applyNumberFormat="1" applyFont="1" applyFill="1" applyBorder="1" applyAlignment="1">
      <alignment horizontal="center" vertical="center" wrapText="1"/>
    </xf>
    <xf numFmtId="49" fontId="2" fillId="3" borderId="3" xfId="0" quotePrefix="1" applyNumberFormat="1" applyFont="1" applyFill="1" applyBorder="1" applyAlignment="1">
      <alignment horizontal="center" vertical="center"/>
    </xf>
    <xf numFmtId="49" fontId="38" fillId="3" borderId="1" xfId="0" applyNumberFormat="1" applyFont="1" applyFill="1" applyBorder="1" applyAlignment="1">
      <alignment horizontal="center" vertical="center" wrapText="1"/>
    </xf>
    <xf numFmtId="49" fontId="38" fillId="3" borderId="82" xfId="0" applyNumberFormat="1" applyFont="1" applyFill="1" applyBorder="1" applyAlignment="1">
      <alignment horizontal="center" vertical="center" wrapText="1"/>
    </xf>
    <xf numFmtId="49" fontId="0" fillId="3" borderId="82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72" xfId="0" quotePrefix="1" applyNumberFormat="1" applyFont="1" applyFill="1" applyBorder="1" applyAlignment="1">
      <alignment horizontal="center" vertical="center" wrapText="1"/>
    </xf>
    <xf numFmtId="49" fontId="2" fillId="3" borderId="85" xfId="0" applyNumberFormat="1" applyFont="1" applyFill="1" applyBorder="1" applyAlignment="1">
      <alignment horizontal="center" vertical="center" wrapText="1"/>
    </xf>
    <xf numFmtId="49" fontId="2" fillId="3" borderId="85" xfId="0" quotePrefix="1" applyNumberFormat="1" applyFont="1" applyFill="1" applyBorder="1" applyAlignment="1">
      <alignment horizontal="center" vertical="center" wrapText="1"/>
    </xf>
    <xf numFmtId="49" fontId="2" fillId="0" borderId="82" xfId="0" applyNumberFormat="1" applyFont="1" applyFill="1" applyBorder="1" applyAlignment="1">
      <alignment horizontal="center" vertical="center" wrapText="1"/>
    </xf>
    <xf numFmtId="49" fontId="2" fillId="3" borderId="82" xfId="0" applyNumberFormat="1" applyFont="1" applyFill="1" applyBorder="1" applyAlignment="1">
      <alignment horizontal="center" vertical="center" wrapText="1"/>
    </xf>
    <xf numFmtId="164" fontId="3" fillId="5" borderId="70" xfId="0" applyNumberFormat="1" applyFont="1" applyFill="1" applyBorder="1" applyAlignment="1">
      <alignment horizontal="center" vertical="center"/>
    </xf>
    <xf numFmtId="164" fontId="3" fillId="5" borderId="71" xfId="0" applyNumberFormat="1" applyFont="1" applyFill="1" applyBorder="1" applyAlignment="1">
      <alignment horizontal="center" vertical="center"/>
    </xf>
    <xf numFmtId="164" fontId="3" fillId="5" borderId="42" xfId="0" applyNumberFormat="1" applyFont="1" applyFill="1" applyBorder="1" applyAlignment="1">
      <alignment horizontal="center" vertical="center"/>
    </xf>
    <xf numFmtId="164" fontId="3" fillId="6" borderId="70" xfId="0" applyNumberFormat="1" applyFont="1" applyFill="1" applyBorder="1" applyAlignment="1">
      <alignment horizontal="center" vertical="center"/>
    </xf>
    <xf numFmtId="164" fontId="3" fillId="6" borderId="71" xfId="0" applyNumberFormat="1" applyFont="1" applyFill="1" applyBorder="1" applyAlignment="1">
      <alignment horizontal="center" vertical="center"/>
    </xf>
    <xf numFmtId="164" fontId="3" fillId="6" borderId="42" xfId="0" applyNumberFormat="1" applyFont="1" applyFill="1" applyBorder="1" applyAlignment="1">
      <alignment horizontal="center" vertical="center"/>
    </xf>
    <xf numFmtId="0" fontId="27" fillId="0" borderId="22" xfId="1" applyFont="1" applyBorder="1" applyAlignment="1">
      <alignment horizontal="center"/>
    </xf>
    <xf numFmtId="0" fontId="27" fillId="0" borderId="27" xfId="1" applyFont="1" applyBorder="1" applyAlignment="1">
      <alignment horizontal="center"/>
    </xf>
    <xf numFmtId="0" fontId="42" fillId="0" borderId="0" xfId="1" applyFont="1" applyBorder="1" applyAlignment="1">
      <alignment horizontal="center" textRotation="90" wrapText="1"/>
    </xf>
    <xf numFmtId="0" fontId="27" fillId="0" borderId="0" xfId="1" applyFont="1" applyBorder="1" applyAlignment="1">
      <alignment horizontal="left"/>
    </xf>
    <xf numFmtId="0" fontId="41" fillId="0" borderId="0" xfId="1" applyFont="1" applyBorder="1" applyAlignment="1">
      <alignment horizontal="center" textRotation="90" wrapText="1"/>
    </xf>
    <xf numFmtId="0" fontId="27" fillId="0" borderId="72" xfId="1" applyFont="1" applyBorder="1" applyAlignment="1">
      <alignment horizontal="center"/>
    </xf>
    <xf numFmtId="0" fontId="26" fillId="0" borderId="73" xfId="1" applyBorder="1" applyAlignment="1">
      <alignment horizontal="center"/>
    </xf>
    <xf numFmtId="0" fontId="26" fillId="0" borderId="74" xfId="1" applyBorder="1" applyAlignment="1">
      <alignment horizontal="center"/>
    </xf>
    <xf numFmtId="0" fontId="26" fillId="0" borderId="75" xfId="1" applyBorder="1" applyAlignment="1">
      <alignment horizontal="center"/>
    </xf>
    <xf numFmtId="0" fontId="6" fillId="0" borderId="6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94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8" borderId="97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94" xfId="0" applyFont="1" applyFill="1" applyBorder="1" applyAlignment="1">
      <alignment horizontal="center" vertical="center"/>
    </xf>
    <xf numFmtId="0" fontId="0" fillId="3" borderId="98" xfId="0" applyFont="1" applyFill="1" applyBorder="1" applyAlignment="1">
      <alignment horizontal="center" vertical="center"/>
    </xf>
    <xf numFmtId="0" fontId="0" fillId="3" borderId="9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94" xfId="0" applyFont="1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3" borderId="10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F59"/>
  <sheetViews>
    <sheetView tabSelected="1" topLeftCell="A37" zoomScale="110" zoomScaleNormal="110" workbookViewId="0">
      <selection activeCell="T1" sqref="T1"/>
    </sheetView>
  </sheetViews>
  <sheetFormatPr defaultRowHeight="12.75" x14ac:dyDescent="0.2"/>
  <cols>
    <col min="1" max="1" width="6.7109375" customWidth="1"/>
    <col min="2" max="2" width="33.140625" customWidth="1"/>
    <col min="3" max="3" width="13.85546875" customWidth="1"/>
    <col min="4" max="4" width="15.42578125" customWidth="1"/>
    <col min="5" max="5" width="17.140625" customWidth="1"/>
    <col min="6" max="6" width="17.7109375" customWidth="1"/>
    <col min="7" max="7" width="10.85546875" customWidth="1"/>
    <col min="8" max="8" width="18.42578125" customWidth="1"/>
    <col min="9" max="9" width="19.7109375" customWidth="1"/>
    <col min="10" max="11" width="12.7109375" customWidth="1"/>
    <col min="12" max="12" width="15.85546875" customWidth="1"/>
    <col min="13" max="13" width="12" customWidth="1"/>
    <col min="15" max="15" width="22.5703125" customWidth="1"/>
    <col min="17" max="17" width="19.5703125" customWidth="1"/>
    <col min="18" max="18" width="15.7109375" customWidth="1"/>
    <col min="19" max="19" width="10.7109375" customWidth="1"/>
    <col min="21" max="21" width="18.42578125" customWidth="1"/>
    <col min="22" max="22" width="19.7109375" customWidth="1"/>
    <col min="23" max="23" width="12.85546875" customWidth="1"/>
    <col min="25" max="25" width="13.85546875" customWidth="1"/>
    <col min="26" max="26" width="11.140625" customWidth="1"/>
    <col min="28" max="28" width="12.7109375" customWidth="1"/>
    <col min="29" max="29" width="10.140625" customWidth="1"/>
    <col min="31" max="31" width="10.5703125" customWidth="1"/>
  </cols>
  <sheetData>
    <row r="2" spans="2:32" ht="13.5" thickBot="1" x14ac:dyDescent="0.25">
      <c r="B2" s="52" t="s">
        <v>150</v>
      </c>
      <c r="C2" s="3"/>
      <c r="D2" s="3"/>
      <c r="E2" s="3"/>
      <c r="F2" s="1"/>
      <c r="G2" s="1"/>
      <c r="H2" s="1"/>
      <c r="I2" s="1"/>
      <c r="J2" s="1"/>
      <c r="K2" s="1"/>
      <c r="L2" s="53" t="s">
        <v>89</v>
      </c>
      <c r="O2" s="51" t="s">
        <v>151</v>
      </c>
      <c r="P2" s="51"/>
      <c r="Q2" s="51"/>
      <c r="R2" s="51"/>
      <c r="Y2" s="51" t="s">
        <v>98</v>
      </c>
      <c r="AB2" s="51" t="s">
        <v>92</v>
      </c>
      <c r="AE2" s="51" t="s">
        <v>152</v>
      </c>
    </row>
    <row r="3" spans="2:32" ht="68.25" customHeight="1" thickBot="1" x14ac:dyDescent="0.25">
      <c r="B3" s="89" t="s">
        <v>0</v>
      </c>
      <c r="C3" s="90" t="s">
        <v>9</v>
      </c>
      <c r="D3" s="91" t="s">
        <v>1</v>
      </c>
      <c r="E3" s="91" t="s">
        <v>2</v>
      </c>
      <c r="F3" s="91" t="s">
        <v>3</v>
      </c>
      <c r="G3" s="91" t="s">
        <v>4</v>
      </c>
      <c r="H3" s="90" t="s">
        <v>7</v>
      </c>
      <c r="I3" s="92" t="s">
        <v>8</v>
      </c>
      <c r="J3" s="93" t="s">
        <v>90</v>
      </c>
      <c r="K3" s="84"/>
      <c r="L3" s="94" t="s">
        <v>153</v>
      </c>
      <c r="M3" s="93" t="s">
        <v>90</v>
      </c>
      <c r="O3" s="89" t="s">
        <v>0</v>
      </c>
      <c r="P3" s="90" t="s">
        <v>9</v>
      </c>
      <c r="Q3" s="91" t="s">
        <v>1</v>
      </c>
      <c r="R3" s="91" t="s">
        <v>2</v>
      </c>
      <c r="S3" s="91" t="s">
        <v>3</v>
      </c>
      <c r="T3" s="91" t="s">
        <v>4</v>
      </c>
      <c r="U3" s="90" t="s">
        <v>7</v>
      </c>
      <c r="V3" s="92" t="s">
        <v>8</v>
      </c>
      <c r="W3" s="95" t="s">
        <v>90</v>
      </c>
      <c r="Y3" s="94" t="s">
        <v>154</v>
      </c>
      <c r="Z3" s="95" t="s">
        <v>90</v>
      </c>
      <c r="AB3" s="96" t="s">
        <v>101</v>
      </c>
      <c r="AC3" s="95" t="s">
        <v>90</v>
      </c>
      <c r="AE3" s="96" t="s">
        <v>155</v>
      </c>
      <c r="AF3" s="95" t="s">
        <v>90</v>
      </c>
    </row>
    <row r="4" spans="2:32" x14ac:dyDescent="0.2">
      <c r="B4" s="186" t="s">
        <v>54</v>
      </c>
      <c r="C4" s="24" t="s">
        <v>10</v>
      </c>
      <c r="D4" s="39" t="s">
        <v>5</v>
      </c>
      <c r="E4" s="39" t="s">
        <v>156</v>
      </c>
      <c r="F4" s="27" t="s">
        <v>6</v>
      </c>
      <c r="G4" s="27" t="s">
        <v>6</v>
      </c>
      <c r="H4" s="28">
        <f>COMBIN(4,1)*COMBIN(3,1)*COMBIN(2,2)</f>
        <v>12</v>
      </c>
      <c r="I4" s="56">
        <f>1*2*H4</f>
        <v>24</v>
      </c>
      <c r="J4" s="187">
        <f>SUM(I4:I5)</f>
        <v>36</v>
      </c>
      <c r="K4" s="20"/>
      <c r="L4" s="188">
        <f>I4</f>
        <v>24</v>
      </c>
      <c r="M4" s="189">
        <f>SUM(L4:L5)</f>
        <v>60</v>
      </c>
      <c r="N4" s="20"/>
      <c r="O4" s="190" t="s">
        <v>55</v>
      </c>
      <c r="P4" s="24" t="s">
        <v>10</v>
      </c>
      <c r="Q4" s="39" t="s">
        <v>5</v>
      </c>
      <c r="R4" s="39" t="s">
        <v>38</v>
      </c>
      <c r="S4" s="191" t="s">
        <v>39</v>
      </c>
      <c r="T4" s="27" t="s">
        <v>6</v>
      </c>
      <c r="U4" s="28">
        <f>COMBIN(4,1)*COMBIN(3,1)*COMBIN(2,1)</f>
        <v>24</v>
      </c>
      <c r="V4" s="56">
        <f>COMBIN(8,8)*COMBIN(1,1)*7*U4</f>
        <v>168</v>
      </c>
      <c r="W4" s="62">
        <f>SUM(V4:V5)</f>
        <v>252</v>
      </c>
      <c r="Y4" s="77">
        <f>V4</f>
        <v>168</v>
      </c>
      <c r="Z4" s="62">
        <f>SUM(Y4:Y5)</f>
        <v>252</v>
      </c>
      <c r="AB4" s="80">
        <v>12</v>
      </c>
      <c r="AC4" s="62">
        <f>SUM(AB4:AB5)</f>
        <v>24</v>
      </c>
      <c r="AE4" s="80">
        <v>12</v>
      </c>
      <c r="AF4" s="62">
        <f>SUM(AE4:AE5)</f>
        <v>24</v>
      </c>
    </row>
    <row r="5" spans="2:32" ht="13.5" thickBot="1" x14ac:dyDescent="0.25">
      <c r="B5" s="192"/>
      <c r="C5" s="29" t="s">
        <v>11</v>
      </c>
      <c r="D5" s="31" t="s">
        <v>5</v>
      </c>
      <c r="E5" s="31">
        <v>7</v>
      </c>
      <c r="F5" s="31">
        <v>7</v>
      </c>
      <c r="G5" s="33" t="s">
        <v>6</v>
      </c>
      <c r="H5" s="32">
        <f>COMBIN(4,1)*COMBIN(3,1)*COMBIN(2,2)</f>
        <v>12</v>
      </c>
      <c r="I5" s="55">
        <f>1*1*1*H5</f>
        <v>12</v>
      </c>
      <c r="J5" s="193"/>
      <c r="K5" s="20"/>
      <c r="L5" s="194">
        <f>I5*3</f>
        <v>36</v>
      </c>
      <c r="M5" s="195"/>
      <c r="N5" s="20"/>
      <c r="O5" s="196"/>
      <c r="P5" s="29" t="s">
        <v>11</v>
      </c>
      <c r="Q5" s="31" t="s">
        <v>5</v>
      </c>
      <c r="R5" s="31" t="s">
        <v>157</v>
      </c>
      <c r="S5" s="33" t="s">
        <v>6</v>
      </c>
      <c r="T5" s="33" t="s">
        <v>6</v>
      </c>
      <c r="U5" s="32">
        <f>COMBIN(4,1)*COMBIN(3,1)*COMBIN(2,2)</f>
        <v>12</v>
      </c>
      <c r="V5" s="55">
        <f>COMBIN(8,8)*COMBIN(1,1)*(COMBIN(6,1)+1)*U5</f>
        <v>84</v>
      </c>
      <c r="W5" s="197"/>
      <c r="Y5" s="76">
        <f t="shared" ref="Y5:Y50" si="0">V5</f>
        <v>84</v>
      </c>
      <c r="Z5" s="197"/>
      <c r="AB5" s="76">
        <v>12</v>
      </c>
      <c r="AC5" s="197"/>
      <c r="AE5" s="76">
        <v>12</v>
      </c>
      <c r="AF5" s="197"/>
    </row>
    <row r="6" spans="2:32" ht="26.25" thickTop="1" x14ac:dyDescent="0.2">
      <c r="B6" s="186" t="s">
        <v>56</v>
      </c>
      <c r="C6" s="24" t="s">
        <v>13</v>
      </c>
      <c r="D6" s="25" t="s">
        <v>32</v>
      </c>
      <c r="E6" s="25" t="s">
        <v>35</v>
      </c>
      <c r="F6" s="24" t="s">
        <v>6</v>
      </c>
      <c r="G6" s="24" t="s">
        <v>6</v>
      </c>
      <c r="H6" s="28">
        <f>COMBIN(4,1)*COMBIN(3,1)*COMBIN(2,2)</f>
        <v>12</v>
      </c>
      <c r="I6" s="56">
        <f>7*5*H6</f>
        <v>420</v>
      </c>
      <c r="J6" s="198">
        <f>SUM(I6:I8)</f>
        <v>784</v>
      </c>
      <c r="K6" s="21"/>
      <c r="L6" s="188">
        <f>I6</f>
        <v>420</v>
      </c>
      <c r="M6" s="199">
        <f>SUM(L6:L8)</f>
        <v>1204</v>
      </c>
      <c r="N6" s="21"/>
      <c r="O6" s="190" t="s">
        <v>56</v>
      </c>
      <c r="P6" s="24" t="s">
        <v>13</v>
      </c>
      <c r="Q6" s="35" t="s">
        <v>70</v>
      </c>
      <c r="R6" s="200" t="s">
        <v>158</v>
      </c>
      <c r="S6" s="201" t="s">
        <v>6</v>
      </c>
      <c r="T6" s="201" t="s">
        <v>6</v>
      </c>
      <c r="U6" s="46">
        <f>COMBIN(4,1)*COMBIN(3,1)*COMBIN(2,2)</f>
        <v>12</v>
      </c>
      <c r="V6" s="59">
        <f>COMBIN(1,1)*COMBIN(7,6)*(COMBIN(2,2)*COMBIN(5,1)+2)*U6</f>
        <v>588</v>
      </c>
      <c r="W6" s="202">
        <f>SUM(V6:V12)</f>
        <v>3568</v>
      </c>
      <c r="X6" s="203"/>
      <c r="Y6" s="204">
        <f t="shared" si="0"/>
        <v>588</v>
      </c>
      <c r="Z6" s="202">
        <f>SUM(Y6:Y12)</f>
        <v>3568</v>
      </c>
      <c r="AA6" s="203"/>
      <c r="AB6" s="204">
        <f>COMBIN(1,1)*COMBIN(7,6)*12</f>
        <v>84</v>
      </c>
      <c r="AC6" s="202">
        <f>SUM(AB6:AB12)</f>
        <v>280</v>
      </c>
      <c r="AD6" s="203"/>
      <c r="AE6" s="204">
        <f>COMBIN(1,1)*COMBIN(7,6)*12</f>
        <v>84</v>
      </c>
      <c r="AF6" s="202">
        <f>SUM(AE6:AE12)</f>
        <v>280</v>
      </c>
    </row>
    <row r="7" spans="2:32" x14ac:dyDescent="0.2">
      <c r="B7" s="205"/>
      <c r="C7" s="7" t="s">
        <v>14</v>
      </c>
      <c r="D7" s="10" t="s">
        <v>32</v>
      </c>
      <c r="E7" s="8" t="s">
        <v>156</v>
      </c>
      <c r="F7" s="8">
        <v>7</v>
      </c>
      <c r="G7" s="12" t="s">
        <v>6</v>
      </c>
      <c r="H7" s="6">
        <f>COMBIN(4,1)*COMBIN(3,1)*COMBIN(2,1)*COMBIN(1,1)</f>
        <v>24</v>
      </c>
      <c r="I7" s="54">
        <f>7*2*1*H7</f>
        <v>336</v>
      </c>
      <c r="J7" s="206"/>
      <c r="K7" s="20"/>
      <c r="L7" s="207">
        <f>I7*2</f>
        <v>672</v>
      </c>
      <c r="M7" s="208"/>
      <c r="N7" s="20"/>
      <c r="O7" s="209"/>
      <c r="P7" s="7" t="s">
        <v>14</v>
      </c>
      <c r="Q7" s="10" t="s">
        <v>70</v>
      </c>
      <c r="R7" s="8" t="s">
        <v>157</v>
      </c>
      <c r="S7" s="8" t="s">
        <v>38</v>
      </c>
      <c r="T7" s="12" t="s">
        <v>6</v>
      </c>
      <c r="U7" s="6">
        <f>COMBIN(4,1)*COMBIN(3,1)*COMBIN(2,1)</f>
        <v>24</v>
      </c>
      <c r="V7" s="54">
        <f>COMBIN(1,1)*COMBIN(7,6)*(COMBIN(1,1)*COMBIN(6,1)+1)*COMBIN(1,1)*U7</f>
        <v>1176</v>
      </c>
      <c r="W7" s="61"/>
      <c r="Y7" s="77">
        <f t="shared" si="0"/>
        <v>1176</v>
      </c>
      <c r="Z7" s="62"/>
      <c r="AB7" s="78">
        <f>COMBIN(1,1)*COMBIN(7,6)*24</f>
        <v>168</v>
      </c>
      <c r="AC7" s="61"/>
      <c r="AE7" s="78">
        <f>COMBIN(1,1)*COMBIN(7,6)*24</f>
        <v>168</v>
      </c>
      <c r="AF7" s="61"/>
    </row>
    <row r="8" spans="2:32" ht="13.5" thickBot="1" x14ac:dyDescent="0.25">
      <c r="B8" s="192"/>
      <c r="C8" s="29" t="s">
        <v>12</v>
      </c>
      <c r="D8" s="30" t="s">
        <v>32</v>
      </c>
      <c r="E8" s="31" t="s">
        <v>16</v>
      </c>
      <c r="F8" s="31" t="s">
        <v>16</v>
      </c>
      <c r="G8" s="31" t="s">
        <v>16</v>
      </c>
      <c r="H8" s="32">
        <f>COMBIN(4,1)*COMBIN(3,3)</f>
        <v>4</v>
      </c>
      <c r="I8" s="55">
        <f>COMBIN(1,1)*COMBIN(7,6)*COMBIN(1,1)*COMBIN(1,1)*COMBIN(1,1)*H8</f>
        <v>28</v>
      </c>
      <c r="J8" s="193"/>
      <c r="K8" s="20"/>
      <c r="L8" s="210">
        <f>I8*4</f>
        <v>112</v>
      </c>
      <c r="M8" s="195"/>
      <c r="N8" s="20"/>
      <c r="O8" s="205"/>
      <c r="P8" s="7" t="s">
        <v>12</v>
      </c>
      <c r="Q8" s="10" t="s">
        <v>70</v>
      </c>
      <c r="R8" s="8" t="s">
        <v>41</v>
      </c>
      <c r="S8" s="211" t="s">
        <v>39</v>
      </c>
      <c r="T8" s="7" t="s">
        <v>6</v>
      </c>
      <c r="U8" s="6">
        <f>COMBIN(4,1)*COMBIN(3,1)*COMBIN(2,1)*COMBIN(1,1)</f>
        <v>24</v>
      </c>
      <c r="V8" s="54">
        <f>COMBIN(1,1)*COMBIN(7,6)*COMBIN(2,2)*COMBIN(7,1)*U8</f>
        <v>1176</v>
      </c>
      <c r="W8" s="61"/>
      <c r="Y8" s="77">
        <f t="shared" si="0"/>
        <v>1176</v>
      </c>
      <c r="Z8" s="62"/>
      <c r="AB8" s="75">
        <v>0</v>
      </c>
      <c r="AC8" s="61"/>
      <c r="AE8" s="75">
        <v>0</v>
      </c>
      <c r="AF8" s="61"/>
    </row>
    <row r="9" spans="2:32" ht="26.25" thickTop="1" x14ac:dyDescent="0.2">
      <c r="B9" s="186" t="s">
        <v>57</v>
      </c>
      <c r="C9" s="24" t="s">
        <v>17</v>
      </c>
      <c r="D9" s="41" t="s">
        <v>86</v>
      </c>
      <c r="E9" s="25" t="s">
        <v>34</v>
      </c>
      <c r="F9" s="24" t="s">
        <v>6</v>
      </c>
      <c r="G9" s="24" t="s">
        <v>6</v>
      </c>
      <c r="H9" s="28">
        <f>COMBIN(4,1)*COMBIN(3,1)*COMBIN(2,2)</f>
        <v>12</v>
      </c>
      <c r="I9" s="56">
        <f>20*14*H9</f>
        <v>3360</v>
      </c>
      <c r="J9" s="198">
        <f>SUM(I9:I12)</f>
        <v>7200</v>
      </c>
      <c r="K9" s="21"/>
      <c r="L9" s="188">
        <f>I9</f>
        <v>3360</v>
      </c>
      <c r="M9" s="199">
        <f>SUM(L9:L12)</f>
        <v>10560</v>
      </c>
      <c r="N9" s="21"/>
      <c r="O9" s="205"/>
      <c r="P9" s="7" t="s">
        <v>15</v>
      </c>
      <c r="Q9" s="10" t="s">
        <v>70</v>
      </c>
      <c r="R9" s="8" t="s">
        <v>38</v>
      </c>
      <c r="S9" s="8" t="s">
        <v>38</v>
      </c>
      <c r="T9" s="211" t="s">
        <v>39</v>
      </c>
      <c r="U9" s="6">
        <f>COMBIN(4,1)*COMBIN(3,1)*COMBIN(2,2)</f>
        <v>12</v>
      </c>
      <c r="V9" s="54">
        <f>COMBIN(1,1)*COMBIN(7,6)*COMBIN(2,2)*COMBIN(7,1)*U9</f>
        <v>588</v>
      </c>
      <c r="W9" s="61"/>
      <c r="Y9" s="77">
        <f t="shared" si="0"/>
        <v>588</v>
      </c>
      <c r="Z9" s="62"/>
      <c r="AB9" s="75">
        <f>COMBIN(1,1)*COMBIN(7,6)*4</f>
        <v>28</v>
      </c>
      <c r="AC9" s="61"/>
      <c r="AE9" s="75">
        <f>COMBIN(1,1)*COMBIN(7,6)*4</f>
        <v>28</v>
      </c>
      <c r="AF9" s="61"/>
    </row>
    <row r="10" spans="2:32" ht="25.5" x14ac:dyDescent="0.2">
      <c r="B10" s="205"/>
      <c r="C10" s="7" t="s">
        <v>18</v>
      </c>
      <c r="D10" s="9" t="s">
        <v>86</v>
      </c>
      <c r="E10" s="10" t="s">
        <v>35</v>
      </c>
      <c r="F10" s="8" t="s">
        <v>16</v>
      </c>
      <c r="G10" s="7" t="s">
        <v>6</v>
      </c>
      <c r="H10" s="6">
        <f>COMBIN(4,1)*COMBIN(3,1)*COMBIN(2,1)*COMBIN(1,1)</f>
        <v>24</v>
      </c>
      <c r="I10" s="54">
        <f>20*5*H10</f>
        <v>2400</v>
      </c>
      <c r="J10" s="212"/>
      <c r="K10" s="21"/>
      <c r="L10" s="213">
        <f>I10*2</f>
        <v>4800</v>
      </c>
      <c r="M10" s="214"/>
      <c r="N10" s="21"/>
      <c r="O10" s="209"/>
      <c r="P10" s="7" t="s">
        <v>42</v>
      </c>
      <c r="Q10" s="10" t="s">
        <v>46</v>
      </c>
      <c r="R10" s="8" t="s">
        <v>45</v>
      </c>
      <c r="S10" s="211" t="s">
        <v>6</v>
      </c>
      <c r="T10" s="12" t="s">
        <v>6</v>
      </c>
      <c r="U10" s="6">
        <f>COMBIN(4,1)*COMBIN(3,1)*COMBIN(2,2)</f>
        <v>12</v>
      </c>
      <c r="V10" s="54">
        <f>1*1*U10</f>
        <v>12</v>
      </c>
      <c r="W10" s="61"/>
      <c r="Y10" s="77">
        <f t="shared" si="0"/>
        <v>12</v>
      </c>
      <c r="Z10" s="62"/>
      <c r="AB10" s="75">
        <v>0</v>
      </c>
      <c r="AC10" s="61"/>
      <c r="AE10" s="75">
        <v>0</v>
      </c>
      <c r="AF10" s="61"/>
    </row>
    <row r="11" spans="2:32" ht="25.5" x14ac:dyDescent="0.2">
      <c r="B11" s="205"/>
      <c r="C11" s="215" t="s">
        <v>19</v>
      </c>
      <c r="D11" s="17" t="s">
        <v>86</v>
      </c>
      <c r="E11" s="15" t="s">
        <v>36</v>
      </c>
      <c r="F11" s="15" t="s">
        <v>36</v>
      </c>
      <c r="G11" s="14" t="s">
        <v>6</v>
      </c>
      <c r="H11" s="44"/>
      <c r="I11" s="57">
        <f>(COMBIN(4,1)*COMBIN(20,1))*COMBIN(3,1)*(COMBIN(2,1)*COMBIN(2,2)+COMBIN(2,2)*COMBIN(2,1))</f>
        <v>960</v>
      </c>
      <c r="J11" s="216"/>
      <c r="K11" s="217"/>
      <c r="L11" s="218">
        <f>I11</f>
        <v>960</v>
      </c>
      <c r="M11" s="219"/>
      <c r="N11" s="21"/>
      <c r="O11" s="205"/>
      <c r="P11" s="7" t="s">
        <v>43</v>
      </c>
      <c r="Q11" s="10" t="s">
        <v>46</v>
      </c>
      <c r="R11" s="8" t="s">
        <v>41</v>
      </c>
      <c r="S11" s="8" t="s">
        <v>38</v>
      </c>
      <c r="T11" s="7" t="s">
        <v>6</v>
      </c>
      <c r="U11" s="6">
        <f>COMBIN(4,1)*COMBIN(3,1)*COMBIN(2,1)</f>
        <v>24</v>
      </c>
      <c r="V11" s="54">
        <f>1*1*U11</f>
        <v>24</v>
      </c>
      <c r="W11" s="61"/>
      <c r="Y11" s="77">
        <f t="shared" si="0"/>
        <v>24</v>
      </c>
      <c r="Z11" s="62"/>
      <c r="AB11" s="75">
        <v>0</v>
      </c>
      <c r="AC11" s="61"/>
      <c r="AE11" s="75">
        <v>0</v>
      </c>
      <c r="AF11" s="61"/>
    </row>
    <row r="12" spans="2:32" ht="26.25" thickBot="1" x14ac:dyDescent="0.25">
      <c r="B12" s="192"/>
      <c r="C12" s="29" t="s">
        <v>20</v>
      </c>
      <c r="D12" s="42" t="s">
        <v>87</v>
      </c>
      <c r="E12" s="30" t="s">
        <v>36</v>
      </c>
      <c r="F12" s="30" t="s">
        <v>16</v>
      </c>
      <c r="G12" s="31" t="s">
        <v>16</v>
      </c>
      <c r="H12" s="32">
        <f>COMBIN(4,1)*COMBIN(3,1)*COMBIN(2,2)</f>
        <v>12</v>
      </c>
      <c r="I12" s="55">
        <f>20*2*1*1*H12</f>
        <v>480</v>
      </c>
      <c r="J12" s="220"/>
      <c r="K12" s="21"/>
      <c r="L12" s="221">
        <f>I12*3</f>
        <v>1440</v>
      </c>
      <c r="M12" s="222"/>
      <c r="N12" s="21"/>
      <c r="O12" s="192"/>
      <c r="P12" s="29" t="s">
        <v>44</v>
      </c>
      <c r="Q12" s="30" t="s">
        <v>46</v>
      </c>
      <c r="R12" s="31" t="s">
        <v>38</v>
      </c>
      <c r="S12" s="31" t="s">
        <v>38</v>
      </c>
      <c r="T12" s="31" t="s">
        <v>38</v>
      </c>
      <c r="U12" s="32">
        <f>COMBIN(4,1)*COMBIN(3,3)</f>
        <v>4</v>
      </c>
      <c r="V12" s="55">
        <f>1*1*U12</f>
        <v>4</v>
      </c>
      <c r="W12" s="197"/>
      <c r="Y12" s="88">
        <f t="shared" si="0"/>
        <v>4</v>
      </c>
      <c r="Z12" s="197"/>
      <c r="AB12" s="79">
        <v>0</v>
      </c>
      <c r="AC12" s="197"/>
      <c r="AE12" s="79">
        <v>0</v>
      </c>
      <c r="AF12" s="197"/>
    </row>
    <row r="13" spans="2:32" ht="26.25" thickTop="1" x14ac:dyDescent="0.2">
      <c r="B13" s="186" t="s">
        <v>58</v>
      </c>
      <c r="C13" s="223" t="s">
        <v>21</v>
      </c>
      <c r="D13" s="36" t="s">
        <v>33</v>
      </c>
      <c r="E13" s="36" t="s">
        <v>33</v>
      </c>
      <c r="F13" s="34" t="s">
        <v>6</v>
      </c>
      <c r="G13" s="34" t="s">
        <v>6</v>
      </c>
      <c r="H13" s="46"/>
      <c r="I13" s="59">
        <f>(COMBIN(4,1)*COMBIN(3,1)*COMBIN(28,2))*COMBIN(2,2)+(COMBIN(4,2)*COMBIN(28,1)*COMBIN(1,1))*COMBIN(2,2)</f>
        <v>4704</v>
      </c>
      <c r="J13" s="224">
        <f>SUM(I13:I17)</f>
        <v>23856</v>
      </c>
      <c r="K13" s="217"/>
      <c r="L13" s="188">
        <f>I13</f>
        <v>4704</v>
      </c>
      <c r="M13" s="225">
        <f>SUM(L13:L17)</f>
        <v>37968</v>
      </c>
      <c r="N13" s="21"/>
      <c r="O13" s="186" t="s">
        <v>57</v>
      </c>
      <c r="P13" s="24" t="s">
        <v>17</v>
      </c>
      <c r="Q13" s="25" t="s">
        <v>71</v>
      </c>
      <c r="R13" s="26" t="s">
        <v>97</v>
      </c>
      <c r="S13" s="191" t="s">
        <v>6</v>
      </c>
      <c r="T13" s="27" t="s">
        <v>6</v>
      </c>
      <c r="U13" s="28">
        <f>COMBIN(4,1)*COMBIN(3,1)*COMBIN(2,2)</f>
        <v>12</v>
      </c>
      <c r="V13" s="56">
        <f>COMBIN(2,2)*COMBIN(6,4)*(COMBIN(3,3)*COMBIN(4,1)+3)*U13</f>
        <v>1260</v>
      </c>
      <c r="W13" s="62">
        <f>SUM(V13:V22)</f>
        <v>12180</v>
      </c>
      <c r="Y13" s="77">
        <f t="shared" si="0"/>
        <v>1260</v>
      </c>
      <c r="Z13" s="62">
        <f>SUM(Y13:Y22)</f>
        <v>12180</v>
      </c>
      <c r="AB13" s="77">
        <f>COMBIN(2,2)*COMBIN(6,4)*12</f>
        <v>180</v>
      </c>
      <c r="AC13" s="62">
        <f>SUM(AB13:AB22)</f>
        <v>900</v>
      </c>
      <c r="AE13" s="77">
        <f>COMBIN(2,2)*COMBIN(6,4)*12</f>
        <v>180</v>
      </c>
      <c r="AF13" s="62">
        <f>SUM(AE13:AE22)</f>
        <v>900</v>
      </c>
    </row>
    <row r="14" spans="2:32" ht="25.5" x14ac:dyDescent="0.2">
      <c r="B14" s="205"/>
      <c r="C14" s="7" t="s">
        <v>22</v>
      </c>
      <c r="D14" s="9" t="s">
        <v>33</v>
      </c>
      <c r="E14" s="10" t="s">
        <v>34</v>
      </c>
      <c r="F14" s="8" t="s">
        <v>16</v>
      </c>
      <c r="G14" s="7" t="s">
        <v>6</v>
      </c>
      <c r="H14" s="6">
        <f>COMBIN(4,1)*COMBIN(3,1)*COMBIN(2,1)*COMBIN(1,1)</f>
        <v>24</v>
      </c>
      <c r="I14" s="54">
        <f>28*14*1*H14</f>
        <v>9408</v>
      </c>
      <c r="J14" s="212"/>
      <c r="K14" s="21"/>
      <c r="L14" s="213">
        <f>I14*2</f>
        <v>18816</v>
      </c>
      <c r="M14" s="214"/>
      <c r="N14" s="21"/>
      <c r="O14" s="205"/>
      <c r="P14" s="7" t="s">
        <v>18</v>
      </c>
      <c r="Q14" s="10" t="s">
        <v>71</v>
      </c>
      <c r="R14" s="8" t="s">
        <v>45</v>
      </c>
      <c r="S14" s="211" t="s">
        <v>39</v>
      </c>
      <c r="T14" s="12" t="s">
        <v>6</v>
      </c>
      <c r="U14" s="6">
        <f>COMBIN(4,1)*COMBIN(3,1)*COMBIN(2,1)</f>
        <v>24</v>
      </c>
      <c r="V14" s="54">
        <f>COMBIN(2,2)*COMBIN(6,4)*COMBIN(3,3)*COMBIN(7,1)*U14</f>
        <v>2520</v>
      </c>
      <c r="W14" s="61"/>
      <c r="Y14" s="77">
        <f t="shared" si="0"/>
        <v>2520</v>
      </c>
      <c r="Z14" s="62"/>
      <c r="AB14" s="78">
        <f>COMBIN(2,2)*COMBIN(6,4)*24</f>
        <v>360</v>
      </c>
      <c r="AC14" s="61"/>
      <c r="AE14" s="78">
        <f>COMBIN(2,2)*COMBIN(6,4)*24</f>
        <v>360</v>
      </c>
      <c r="AF14" s="61"/>
    </row>
    <row r="15" spans="2:32" ht="25.5" x14ac:dyDescent="0.2">
      <c r="B15" s="205"/>
      <c r="C15" s="7" t="s">
        <v>23</v>
      </c>
      <c r="D15" s="9" t="s">
        <v>33</v>
      </c>
      <c r="E15" s="10" t="s">
        <v>35</v>
      </c>
      <c r="F15" s="10" t="s">
        <v>36</v>
      </c>
      <c r="G15" s="7" t="s">
        <v>6</v>
      </c>
      <c r="H15" s="6">
        <f>COMBIN(4,1)*COMBIN(3,1)*COMBIN(2,1)*COMBIN(1,1)</f>
        <v>24</v>
      </c>
      <c r="I15" s="54">
        <f>28*5*2*H15</f>
        <v>6720</v>
      </c>
      <c r="J15" s="212"/>
      <c r="K15" s="21"/>
      <c r="L15" s="218">
        <f>I15</f>
        <v>6720</v>
      </c>
      <c r="M15" s="214"/>
      <c r="N15" s="21"/>
      <c r="O15" s="205"/>
      <c r="P15" s="215" t="s">
        <v>19</v>
      </c>
      <c r="Q15" s="10" t="s">
        <v>71</v>
      </c>
      <c r="R15" s="13" t="s">
        <v>158</v>
      </c>
      <c r="S15" s="8" t="s">
        <v>38</v>
      </c>
      <c r="T15" s="7" t="s">
        <v>6</v>
      </c>
      <c r="U15" s="6">
        <f>COMBIN(4,1)*COMBIN(3,1)*COMBIN(2,1)</f>
        <v>24</v>
      </c>
      <c r="V15" s="54">
        <f>COMBIN(2,2)*COMBIN(6,4)*(COMBIN(2,2)*COMBIN(5,1)+2)*COMBIN(1,1)*U15</f>
        <v>2520</v>
      </c>
      <c r="W15" s="61"/>
      <c r="Y15" s="77">
        <f t="shared" si="0"/>
        <v>2520</v>
      </c>
      <c r="Z15" s="62"/>
      <c r="AB15" s="75">
        <v>0</v>
      </c>
      <c r="AC15" s="61"/>
      <c r="AE15" s="75">
        <v>0</v>
      </c>
      <c r="AF15" s="61"/>
    </row>
    <row r="16" spans="2:32" ht="25.5" x14ac:dyDescent="0.2">
      <c r="B16" s="205"/>
      <c r="C16" s="7" t="s">
        <v>24</v>
      </c>
      <c r="D16" s="9" t="s">
        <v>33</v>
      </c>
      <c r="E16" s="10" t="s">
        <v>35</v>
      </c>
      <c r="F16" s="8" t="s">
        <v>16</v>
      </c>
      <c r="G16" s="8" t="s">
        <v>16</v>
      </c>
      <c r="H16" s="6">
        <f>COMBIN(4,1)*COMBIN(3,1)*COMBIN(2,2)</f>
        <v>12</v>
      </c>
      <c r="I16" s="54">
        <f>28*5*1*1*H16</f>
        <v>1680</v>
      </c>
      <c r="J16" s="212"/>
      <c r="K16" s="21"/>
      <c r="L16" s="226">
        <f>I16*3</f>
        <v>5040</v>
      </c>
      <c r="M16" s="214"/>
      <c r="N16" s="21"/>
      <c r="O16" s="205"/>
      <c r="P16" s="7" t="s">
        <v>20</v>
      </c>
      <c r="Q16" s="10" t="s">
        <v>71</v>
      </c>
      <c r="R16" s="8" t="s">
        <v>41</v>
      </c>
      <c r="S16" s="8" t="s">
        <v>157</v>
      </c>
      <c r="T16" s="7" t="s">
        <v>6</v>
      </c>
      <c r="U16" s="6">
        <f>COMBIN(4,1)*COMBIN(3,1)*COMBIN(2,1)</f>
        <v>24</v>
      </c>
      <c r="V16" s="54">
        <f>COMBIN(2,2)*COMBIN(6,4)*COMBIN(2,2)*(COMBIN(1,1)*COMBIN(6,1)+1)*U16</f>
        <v>2520</v>
      </c>
      <c r="W16" s="61"/>
      <c r="Y16" s="77">
        <f t="shared" si="0"/>
        <v>2520</v>
      </c>
      <c r="Z16" s="62"/>
      <c r="AB16" s="75">
        <f>COMBIN(2,2)*COMBIN(6,4)*12</f>
        <v>180</v>
      </c>
      <c r="AC16" s="61"/>
      <c r="AE16" s="75">
        <f>COMBIN(2,2)*COMBIN(6,4)*12</f>
        <v>180</v>
      </c>
      <c r="AF16" s="61"/>
    </row>
    <row r="17" spans="2:32" ht="26.25" thickBot="1" x14ac:dyDescent="0.25">
      <c r="B17" s="192"/>
      <c r="C17" s="227" t="s">
        <v>25</v>
      </c>
      <c r="D17" s="38" t="s">
        <v>33</v>
      </c>
      <c r="E17" s="228" t="s">
        <v>36</v>
      </c>
      <c r="F17" s="228" t="s">
        <v>36</v>
      </c>
      <c r="G17" s="229" t="s">
        <v>16</v>
      </c>
      <c r="H17" s="45"/>
      <c r="I17" s="58">
        <f>(COMBIN(4,1)*COMBIN(28,1))*(COMBIN(3,1)*COMBIN(1,1))*(COMBIN(2,1)*COMBIN(2,2)+COMBIN(2,2)*COMBIN(2,1))</f>
        <v>1344</v>
      </c>
      <c r="J17" s="230"/>
      <c r="K17" s="217"/>
      <c r="L17" s="231">
        <f>I17*2</f>
        <v>2688</v>
      </c>
      <c r="M17" s="232"/>
      <c r="N17" s="21"/>
      <c r="O17" s="205"/>
      <c r="P17" s="7" t="s">
        <v>47</v>
      </c>
      <c r="Q17" s="10" t="s">
        <v>71</v>
      </c>
      <c r="R17" s="8" t="s">
        <v>41</v>
      </c>
      <c r="S17" s="8" t="s">
        <v>38</v>
      </c>
      <c r="T17" s="211" t="s">
        <v>39</v>
      </c>
      <c r="U17" s="6">
        <f>COMBIN(4,1)*COMBIN(3,1)*COMBIN(2,1)*COMBIN(1,1)</f>
        <v>24</v>
      </c>
      <c r="V17" s="54">
        <f>COMBIN(2,2)*COMBIN(6,4)*COMBIN(2,2)*COMBIN(1,1)*COMBIN(7,1)*U17</f>
        <v>2520</v>
      </c>
      <c r="W17" s="61"/>
      <c r="Y17" s="77">
        <f t="shared" si="0"/>
        <v>2520</v>
      </c>
      <c r="Z17" s="62"/>
      <c r="AB17" s="75">
        <f>COMBIN(2,2)*COMBIN(6,4)*12</f>
        <v>180</v>
      </c>
      <c r="AC17" s="61"/>
      <c r="AE17" s="75">
        <f>COMBIN(2,2)*COMBIN(6,4)*12</f>
        <v>180</v>
      </c>
      <c r="AF17" s="61"/>
    </row>
    <row r="18" spans="2:32" ht="13.5" thickTop="1" x14ac:dyDescent="0.2">
      <c r="B18" s="186" t="s">
        <v>59</v>
      </c>
      <c r="C18" s="223" t="s">
        <v>26</v>
      </c>
      <c r="D18" s="35" t="s">
        <v>34</v>
      </c>
      <c r="E18" s="35" t="s">
        <v>34</v>
      </c>
      <c r="F18" s="35" t="s">
        <v>36</v>
      </c>
      <c r="G18" s="233" t="s">
        <v>6</v>
      </c>
      <c r="H18" s="234"/>
      <c r="I18" s="59">
        <f>(COMBIN(4,1)*COMBIN(2,1))*COMBIN(3,1)*(COMBIN(2,1)*COMBIN(14,2)+COMBIN(2,2)*COMBIN(14,1)*COMBIN(1,1))</f>
        <v>4704</v>
      </c>
      <c r="J18" s="224">
        <f>SUM(I18:I22)</f>
        <v>13888</v>
      </c>
      <c r="K18" s="217"/>
      <c r="L18" s="188">
        <f>I18</f>
        <v>4704</v>
      </c>
      <c r="M18" s="225">
        <f>SUM(L18:L22)</f>
        <v>19600</v>
      </c>
      <c r="N18" s="21"/>
      <c r="O18" s="235"/>
      <c r="P18" s="14" t="s">
        <v>48</v>
      </c>
      <c r="Q18" s="10" t="s">
        <v>71</v>
      </c>
      <c r="R18" s="16" t="s">
        <v>40</v>
      </c>
      <c r="S18" s="16" t="s">
        <v>38</v>
      </c>
      <c r="T18" s="16" t="s">
        <v>38</v>
      </c>
      <c r="U18" s="6">
        <f>COMBIN(4,1)*COMBIN(3,1)*COMBIN(2,2)</f>
        <v>12</v>
      </c>
      <c r="V18" s="57">
        <f>COMBIN(2,2)*COMBIN(6,4)*COMBIN(2,2)*COMBIN(1,1)*COMBIN(1,1)*U18</f>
        <v>180</v>
      </c>
      <c r="W18" s="61"/>
      <c r="Y18" s="77">
        <f t="shared" si="0"/>
        <v>180</v>
      </c>
      <c r="Z18" s="62"/>
      <c r="AB18" s="75">
        <v>0</v>
      </c>
      <c r="AC18" s="61"/>
      <c r="AE18" s="75">
        <v>0</v>
      </c>
      <c r="AF18" s="61"/>
    </row>
    <row r="19" spans="2:32" ht="25.5" x14ac:dyDescent="0.2">
      <c r="B19" s="205"/>
      <c r="C19" s="215" t="s">
        <v>27</v>
      </c>
      <c r="D19" s="15" t="s">
        <v>34</v>
      </c>
      <c r="E19" s="15" t="s">
        <v>34</v>
      </c>
      <c r="F19" s="16" t="s">
        <v>16</v>
      </c>
      <c r="G19" s="16" t="s">
        <v>16</v>
      </c>
      <c r="H19" s="44"/>
      <c r="I19" s="59">
        <f>(COMBIN(4,2)*COMBIN(1,1))*(COMBIN(2,1)*COMBIN(14,2)+COMBIN(2,2)*COMBIN(14,1)*COMBIN(1,1))</f>
        <v>1176</v>
      </c>
      <c r="J19" s="216"/>
      <c r="K19" s="217"/>
      <c r="L19" s="213">
        <f>I19*3</f>
        <v>3528</v>
      </c>
      <c r="M19" s="219"/>
      <c r="N19" s="21"/>
      <c r="O19" s="235"/>
      <c r="P19" s="14" t="s">
        <v>49</v>
      </c>
      <c r="Q19" s="17" t="s">
        <v>159</v>
      </c>
      <c r="R19" s="8" t="s">
        <v>53</v>
      </c>
      <c r="S19" s="211" t="s">
        <v>6</v>
      </c>
      <c r="T19" s="12" t="s">
        <v>6</v>
      </c>
      <c r="U19" s="6">
        <f>COMBIN(4,1)*COMBIN(3,1)*COMBIN(2,2)</f>
        <v>12</v>
      </c>
      <c r="V19" s="57">
        <f>(COMBIN(1,1)*COMBIN(1,0)*COMBIN(6,5)+COMBIN(2,2)*COMBIN(5,4))*COMBIN(4,4)*U19</f>
        <v>132</v>
      </c>
      <c r="W19" s="61"/>
      <c r="Y19" s="77">
        <f t="shared" si="0"/>
        <v>132</v>
      </c>
      <c r="Z19" s="62"/>
      <c r="AB19" s="75">
        <v>0</v>
      </c>
      <c r="AC19" s="61"/>
      <c r="AE19" s="75">
        <v>0</v>
      </c>
      <c r="AF19" s="61"/>
    </row>
    <row r="20" spans="2:32" ht="25.5" x14ac:dyDescent="0.2">
      <c r="B20" s="205"/>
      <c r="C20" s="215" t="s">
        <v>28</v>
      </c>
      <c r="D20" s="15" t="s">
        <v>34</v>
      </c>
      <c r="E20" s="15" t="s">
        <v>35</v>
      </c>
      <c r="F20" s="15" t="s">
        <v>35</v>
      </c>
      <c r="G20" s="14" t="s">
        <v>6</v>
      </c>
      <c r="H20" s="44"/>
      <c r="I20" s="59">
        <f>(COMBIN(4,1)*COMBIN(14,1))*COMBIN(3,1)*(COMBIN(2,1)*COMBIN(5,2)+COMBIN(2,2)*COMBIN(5,1)*COMBIN(1,1))</f>
        <v>4200</v>
      </c>
      <c r="J20" s="216"/>
      <c r="K20" s="217"/>
      <c r="L20" s="188">
        <f>I20</f>
        <v>4200</v>
      </c>
      <c r="M20" s="219"/>
      <c r="N20" s="21"/>
      <c r="O20" s="235"/>
      <c r="P20" s="14" t="s">
        <v>50</v>
      </c>
      <c r="Q20" s="17" t="s">
        <v>159</v>
      </c>
      <c r="R20" s="8" t="s">
        <v>45</v>
      </c>
      <c r="S20" s="8" t="s">
        <v>38</v>
      </c>
      <c r="T20" s="7" t="s">
        <v>6</v>
      </c>
      <c r="U20" s="6">
        <f>COMBIN(4,1)*COMBIN(3,1)*COMBIN(2,1)</f>
        <v>24</v>
      </c>
      <c r="V20" s="57">
        <f>(COMBIN(1,1)*COMBIN(1,0)*COMBIN(6,5)+COMBIN(2,2)*COMBIN(5,4))*COMBIN(4,4)*U20</f>
        <v>264</v>
      </c>
      <c r="W20" s="61"/>
      <c r="Y20" s="77">
        <f t="shared" si="0"/>
        <v>264</v>
      </c>
      <c r="Z20" s="62"/>
      <c r="AB20" s="75">
        <v>0</v>
      </c>
      <c r="AC20" s="61"/>
      <c r="AE20" s="75">
        <v>0</v>
      </c>
      <c r="AF20" s="61"/>
    </row>
    <row r="21" spans="2:32" ht="25.5" x14ac:dyDescent="0.2">
      <c r="B21" s="205"/>
      <c r="C21" s="7" t="s">
        <v>29</v>
      </c>
      <c r="D21" s="10" t="s">
        <v>34</v>
      </c>
      <c r="E21" s="10" t="s">
        <v>35</v>
      </c>
      <c r="F21" s="10" t="s">
        <v>36</v>
      </c>
      <c r="G21" s="8" t="s">
        <v>16</v>
      </c>
      <c r="H21" s="6">
        <f>COMBIN(4,1)*COMBIN(3,1)*COMBIN(2,1)*COMBIN(1,1)</f>
        <v>24</v>
      </c>
      <c r="I21" s="54">
        <f>14*5*2*1*H21</f>
        <v>3360</v>
      </c>
      <c r="J21" s="212"/>
      <c r="K21" s="21"/>
      <c r="L21" s="213">
        <f>I21*2</f>
        <v>6720</v>
      </c>
      <c r="M21" s="214"/>
      <c r="N21" s="21"/>
      <c r="O21" s="235"/>
      <c r="P21" s="14" t="s">
        <v>51</v>
      </c>
      <c r="Q21" s="17" t="s">
        <v>159</v>
      </c>
      <c r="R21" s="8" t="s">
        <v>41</v>
      </c>
      <c r="S21" s="8" t="s">
        <v>41</v>
      </c>
      <c r="T21" s="7" t="s">
        <v>6</v>
      </c>
      <c r="U21" s="6">
        <f>COMBIN(4,1)*COMBIN(3,1)*COMBIN(2,2)</f>
        <v>12</v>
      </c>
      <c r="V21" s="57">
        <f>(COMBIN(1,1)*COMBIN(1,0)*COMBIN(6,5)+COMBIN(2,2)*COMBIN(5,4))*COMBIN(4,4)*U21</f>
        <v>132</v>
      </c>
      <c r="W21" s="61"/>
      <c r="Y21" s="77">
        <f t="shared" si="0"/>
        <v>132</v>
      </c>
      <c r="Z21" s="62"/>
      <c r="AB21" s="75">
        <v>0</v>
      </c>
      <c r="AC21" s="61"/>
      <c r="AE21" s="75">
        <v>0</v>
      </c>
      <c r="AF21" s="61"/>
    </row>
    <row r="22" spans="2:32" ht="26.25" thickBot="1" x14ac:dyDescent="0.25">
      <c r="B22" s="192"/>
      <c r="C22" s="227" t="s">
        <v>30</v>
      </c>
      <c r="D22" s="228" t="s">
        <v>34</v>
      </c>
      <c r="E22" s="228" t="s">
        <v>36</v>
      </c>
      <c r="F22" s="228" t="s">
        <v>36</v>
      </c>
      <c r="G22" s="228" t="s">
        <v>36</v>
      </c>
      <c r="H22" s="45"/>
      <c r="I22" s="58">
        <f>(COMBIN(4,1)*COMBIN(14,1))*(COMBIN(3,1)*COMBIN(2,1)*COMBIN(2,2)+COMBIN(3,3)*COMBIN(2,1))</f>
        <v>448</v>
      </c>
      <c r="J22" s="230"/>
      <c r="K22" s="217"/>
      <c r="L22" s="236">
        <f>I22</f>
        <v>448</v>
      </c>
      <c r="M22" s="232"/>
      <c r="N22" s="21"/>
      <c r="O22" s="237"/>
      <c r="P22" s="37" t="s">
        <v>52</v>
      </c>
      <c r="Q22" s="38" t="s">
        <v>159</v>
      </c>
      <c r="R22" s="31" t="s">
        <v>41</v>
      </c>
      <c r="S22" s="31" t="s">
        <v>38</v>
      </c>
      <c r="T22" s="31" t="s">
        <v>38</v>
      </c>
      <c r="U22" s="32">
        <f>COMBIN(4,1)*COMBIN(3,1)*COMBIN(2,2)</f>
        <v>12</v>
      </c>
      <c r="V22" s="58">
        <f>(COMBIN(1,1)*COMBIN(1,0)*COMBIN(6,5)+COMBIN(2,2)*COMBIN(5,4))*COMBIN(4,4)*U22</f>
        <v>132</v>
      </c>
      <c r="W22" s="197"/>
      <c r="Y22" s="76">
        <f t="shared" si="0"/>
        <v>132</v>
      </c>
      <c r="Z22" s="197"/>
      <c r="AB22" s="79">
        <v>0</v>
      </c>
      <c r="AC22" s="197"/>
      <c r="AE22" s="79">
        <v>0</v>
      </c>
      <c r="AF22" s="197"/>
    </row>
    <row r="23" spans="2:32" ht="26.25" thickTop="1" x14ac:dyDescent="0.2">
      <c r="B23" s="238" t="s">
        <v>60</v>
      </c>
      <c r="C23" s="223" t="s">
        <v>31</v>
      </c>
      <c r="D23" s="35" t="s">
        <v>35</v>
      </c>
      <c r="E23" s="35" t="s">
        <v>35</v>
      </c>
      <c r="F23" s="35" t="s">
        <v>35</v>
      </c>
      <c r="G23" s="239" t="s">
        <v>16</v>
      </c>
      <c r="H23" s="46"/>
      <c r="I23" s="240">
        <f>(COMBIN(4,1)*COMBIN(1,1))*(COMBIN(3,1)*COMBIN(2,1)*COMBIN(5,3)+COMBIN(3,1)*COMBIN(5,1)*COMBIN(2,2)*COMBIN(4,1)+COMBIN(3,3)*COMBIN(5,1))</f>
        <v>500</v>
      </c>
      <c r="J23" s="224">
        <f>SUM(I23:I24)</f>
        <v>1100</v>
      </c>
      <c r="K23" s="21"/>
      <c r="L23" s="241">
        <f>I23*2</f>
        <v>1000</v>
      </c>
      <c r="M23" s="219">
        <f>SUM(L23:L24)</f>
        <v>1600</v>
      </c>
      <c r="N23" s="21"/>
      <c r="O23" s="238" t="s">
        <v>58</v>
      </c>
      <c r="P23" s="34" t="s">
        <v>21</v>
      </c>
      <c r="Q23" s="35" t="s">
        <v>72</v>
      </c>
      <c r="R23" s="36" t="s">
        <v>160</v>
      </c>
      <c r="S23" s="34" t="s">
        <v>6</v>
      </c>
      <c r="T23" s="34" t="s">
        <v>6</v>
      </c>
      <c r="U23" s="28">
        <f>COMBIN(4,1)*COMBIN(3,1)*COMBIN(2,2)</f>
        <v>12</v>
      </c>
      <c r="V23" s="59">
        <f>COMBIN(3,3)*COMBIN(5,2)*(COMBIN(2,2)*COMBIN(1,0)*COMBIN(5,3)+COMBIN(3,3)*COMBIN(4,2)*2)*U23</f>
        <v>2640</v>
      </c>
      <c r="W23" s="62">
        <f>SUM(V23:V35)</f>
        <v>15984</v>
      </c>
      <c r="Y23" s="77">
        <f t="shared" si="0"/>
        <v>2640</v>
      </c>
      <c r="Z23" s="62">
        <f>SUM(Y23:Y35)</f>
        <v>15984</v>
      </c>
      <c r="AB23" s="80">
        <f>COMBIN(3,3)*COMBIN(5,2)*6</f>
        <v>60</v>
      </c>
      <c r="AC23" s="62">
        <f>SUM(AB23:AB35)</f>
        <v>900</v>
      </c>
      <c r="AE23" s="80">
        <f>COMBIN(3,3)*COMBIN(5,2)*6</f>
        <v>60</v>
      </c>
      <c r="AF23" s="62">
        <f>SUM(AE23:AE35)</f>
        <v>900</v>
      </c>
    </row>
    <row r="24" spans="2:32" ht="13.5" thickBot="1" x14ac:dyDescent="0.25">
      <c r="B24" s="242"/>
      <c r="C24" s="243" t="s">
        <v>37</v>
      </c>
      <c r="D24" s="18" t="s">
        <v>35</v>
      </c>
      <c r="E24" s="18" t="s">
        <v>35</v>
      </c>
      <c r="F24" s="18" t="s">
        <v>36</v>
      </c>
      <c r="G24" s="18" t="s">
        <v>36</v>
      </c>
      <c r="H24" s="244"/>
      <c r="I24" s="245">
        <f>COMBIN(4,1)*COMBIN(3,1)*(COMBIN(5,2)*(COMBIN(2,1)*COMBIN(2,2)+COMBIN(2,2)*COMBIN(2,1))+COMBIN(2,2)*COMBIN(5,1)*COMBIN(2,2))+COMBIN(4,2)*COMBIN(5,1)*COMBIN(1,1)*COMBIN(2,2)*COMBIN(2,1)</f>
        <v>600</v>
      </c>
      <c r="J24" s="246"/>
      <c r="K24" s="21"/>
      <c r="L24" s="247">
        <f>I24</f>
        <v>600</v>
      </c>
      <c r="M24" s="248"/>
      <c r="N24" s="21"/>
      <c r="O24" s="205"/>
      <c r="P24" s="7" t="s">
        <v>22</v>
      </c>
      <c r="Q24" s="15" t="s">
        <v>72</v>
      </c>
      <c r="R24" s="17" t="s">
        <v>61</v>
      </c>
      <c r="S24" s="211" t="s">
        <v>39</v>
      </c>
      <c r="T24" s="14" t="s">
        <v>6</v>
      </c>
      <c r="U24" s="6">
        <f>COMBIN(4,1)*COMBIN(3,1)*COMBIN(2,1)</f>
        <v>24</v>
      </c>
      <c r="V24" s="54">
        <f>COMBIN(3,3)*COMBIN(5,2)*COMBIN(4,4)*COMBIN(7,1)*U24</f>
        <v>1680</v>
      </c>
      <c r="W24" s="61"/>
      <c r="Y24" s="77">
        <f t="shared" si="0"/>
        <v>1680</v>
      </c>
      <c r="Z24" s="62"/>
      <c r="AB24" s="78">
        <f>COMBIN(3,3)*COMBIN(5,2)*24</f>
        <v>240</v>
      </c>
      <c r="AC24" s="61"/>
      <c r="AE24" s="78">
        <f>COMBIN(3,3)*COMBIN(5,2)*24</f>
        <v>240</v>
      </c>
      <c r="AF24" s="61"/>
    </row>
    <row r="25" spans="2:32" ht="25.5" x14ac:dyDescent="0.2">
      <c r="B25" s="2"/>
      <c r="C25" s="5"/>
      <c r="D25" s="2"/>
      <c r="E25" s="2"/>
      <c r="F25" s="2"/>
      <c r="G25" s="2"/>
      <c r="H25" s="2"/>
      <c r="I25" s="22">
        <f>SUM(I4:I24)</f>
        <v>46864</v>
      </c>
      <c r="J25" s="2">
        <f>SUM(J4:J24)</f>
        <v>46864</v>
      </c>
      <c r="K25" s="2"/>
      <c r="L25" s="43">
        <f>SUM(L4:L24)</f>
        <v>70992</v>
      </c>
      <c r="M25" s="249">
        <f>SUM(M4:M24)</f>
        <v>70992</v>
      </c>
      <c r="N25" s="2"/>
      <c r="O25" s="205"/>
      <c r="P25" s="7" t="s">
        <v>23</v>
      </c>
      <c r="Q25" s="15" t="s">
        <v>72</v>
      </c>
      <c r="R25" s="13" t="s">
        <v>161</v>
      </c>
      <c r="S25" s="8" t="s">
        <v>38</v>
      </c>
      <c r="T25" s="14" t="s">
        <v>6</v>
      </c>
      <c r="U25" s="6">
        <f>COMBIN(4,1)*COMBIN(3,1)*COMBIN(2,1)</f>
        <v>24</v>
      </c>
      <c r="V25" s="54">
        <f>COMBIN(3,3)*COMBIN(5,2)*(COMBIN(3,3)*COMBIN(4,1)+3)*COMBIN(1,1)*U25</f>
        <v>1680</v>
      </c>
      <c r="W25" s="61"/>
      <c r="Y25" s="77">
        <f t="shared" si="0"/>
        <v>1680</v>
      </c>
      <c r="Z25" s="62"/>
      <c r="AB25" s="75">
        <v>0</v>
      </c>
      <c r="AC25" s="61"/>
      <c r="AE25" s="75">
        <v>0</v>
      </c>
      <c r="AF25" s="61"/>
    </row>
    <row r="26" spans="2:32" x14ac:dyDescent="0.2">
      <c r="B26" s="2"/>
      <c r="C26" s="5"/>
      <c r="H26" s="83" t="s">
        <v>93</v>
      </c>
      <c r="I26" s="250">
        <f>I25/COMBIN(32,10)*100</f>
        <v>7.2643578954939406E-2</v>
      </c>
      <c r="J26" s="251"/>
      <c r="K26" s="251"/>
      <c r="L26" s="252">
        <f>L25/I25</f>
        <v>1.5148514851485149</v>
      </c>
      <c r="O26" s="205"/>
      <c r="P26" s="7" t="s">
        <v>24</v>
      </c>
      <c r="Q26" s="15" t="s">
        <v>72</v>
      </c>
      <c r="R26" s="8" t="s">
        <v>45</v>
      </c>
      <c r="S26" s="8" t="s">
        <v>157</v>
      </c>
      <c r="T26" s="14" t="s">
        <v>6</v>
      </c>
      <c r="U26" s="6">
        <f>COMBIN(4,1)*COMBIN(3,1)*COMBIN(2,1)</f>
        <v>24</v>
      </c>
      <c r="V26" s="54">
        <f>COMBIN(3,3)*COMBIN(5,2)*COMBIN(3,3)*(COMBIN(1,1)*COMBIN(6,1)+1)*U26</f>
        <v>1680</v>
      </c>
      <c r="W26" s="61"/>
      <c r="Y26" s="77">
        <f t="shared" si="0"/>
        <v>1680</v>
      </c>
      <c r="Z26" s="62"/>
      <c r="AB26" s="78">
        <f>COMBIN(3,3)*COMBIN(5,2)*24</f>
        <v>240</v>
      </c>
      <c r="AC26" s="61"/>
      <c r="AE26" s="78">
        <f>COMBIN(3,3)*COMBIN(5,2)*24</f>
        <v>240</v>
      </c>
      <c r="AF26" s="61"/>
    </row>
    <row r="27" spans="2:32" ht="25.5" x14ac:dyDescent="0.2">
      <c r="B27" s="2"/>
      <c r="I27" s="2"/>
      <c r="L27" s="2"/>
      <c r="O27" s="205"/>
      <c r="P27" s="215" t="s">
        <v>25</v>
      </c>
      <c r="Q27" s="15" t="s">
        <v>72</v>
      </c>
      <c r="R27" s="13" t="s">
        <v>158</v>
      </c>
      <c r="S27" s="8" t="s">
        <v>41</v>
      </c>
      <c r="T27" s="7" t="s">
        <v>6</v>
      </c>
      <c r="U27" s="6">
        <f>COMBIN(4,1)*COMBIN(3,1)*COMBIN(2,1)</f>
        <v>24</v>
      </c>
      <c r="V27" s="54">
        <f>COMBIN(3,3)*COMBIN(5,2)*(COMBIN(2,2)*COMBIN(5,1)+2)*COMBIN(2,2)*U27</f>
        <v>1680</v>
      </c>
      <c r="W27" s="61"/>
      <c r="Y27" s="77">
        <f t="shared" si="0"/>
        <v>1680</v>
      </c>
      <c r="Z27" s="62"/>
      <c r="AB27" s="75">
        <v>0</v>
      </c>
      <c r="AC27" s="61"/>
      <c r="AE27" s="75">
        <v>0</v>
      </c>
      <c r="AF27" s="61"/>
    </row>
    <row r="28" spans="2:32" ht="13.5" thickBot="1" x14ac:dyDescent="0.25">
      <c r="B28" s="73" t="s">
        <v>91</v>
      </c>
      <c r="C28" s="5"/>
      <c r="D28" s="2"/>
      <c r="E28" s="2"/>
      <c r="F28" s="2"/>
      <c r="G28" s="2"/>
      <c r="H28" s="2"/>
      <c r="I28" s="2"/>
      <c r="J28" s="2"/>
      <c r="K28" s="2"/>
      <c r="L28" s="2"/>
      <c r="O28" s="205"/>
      <c r="P28" s="7" t="s">
        <v>62</v>
      </c>
      <c r="Q28" s="15" t="s">
        <v>72</v>
      </c>
      <c r="R28" s="8" t="s">
        <v>45</v>
      </c>
      <c r="S28" s="8" t="s">
        <v>38</v>
      </c>
      <c r="T28" s="211" t="s">
        <v>39</v>
      </c>
      <c r="U28" s="6">
        <f>COMBIN(4,1)*COMBIN(3,1)*COMBIN(2,1)</f>
        <v>24</v>
      </c>
      <c r="V28" s="54">
        <f>COMBIN(3,3)*COMBIN(5,2)*COMBIN(3,3)*COMBIN(1,1)*COMBIN(7,1)*U28</f>
        <v>1680</v>
      </c>
      <c r="W28" s="61"/>
      <c r="Y28" s="77">
        <f t="shared" si="0"/>
        <v>1680</v>
      </c>
      <c r="Z28" s="62"/>
      <c r="AB28" s="75">
        <f>COMBIN(3,3)*COMBIN(5,2)*12</f>
        <v>120</v>
      </c>
      <c r="AC28" s="61"/>
      <c r="AE28" s="75">
        <f>COMBIN(3,3)*COMBIN(5,2)*12</f>
        <v>120</v>
      </c>
      <c r="AF28" s="61"/>
    </row>
    <row r="29" spans="2:32" ht="43.5" customHeight="1" thickBot="1" x14ac:dyDescent="0.25">
      <c r="B29" s="253" t="s">
        <v>94</v>
      </c>
      <c r="C29" s="254" t="s">
        <v>88</v>
      </c>
      <c r="D29" s="91">
        <v>7</v>
      </c>
      <c r="E29" s="91">
        <v>6</v>
      </c>
      <c r="F29" s="101">
        <v>5</v>
      </c>
      <c r="G29" s="100">
        <v>4</v>
      </c>
      <c r="H29" s="102">
        <v>3</v>
      </c>
      <c r="I29" s="2"/>
      <c r="J29" s="2"/>
      <c r="K29" s="21"/>
      <c r="L29" s="2"/>
      <c r="O29" s="205"/>
      <c r="P29" s="215" t="s">
        <v>63</v>
      </c>
      <c r="Q29" s="15" t="s">
        <v>72</v>
      </c>
      <c r="R29" s="13" t="s">
        <v>158</v>
      </c>
      <c r="S29" s="8" t="s">
        <v>38</v>
      </c>
      <c r="T29" s="8" t="s">
        <v>38</v>
      </c>
      <c r="U29" s="6">
        <f>COMBIN(4,1)*COMBIN(3,1)*COMBIN(2,2)</f>
        <v>12</v>
      </c>
      <c r="V29" s="54">
        <f>COMBIN(3,3)*COMBIN(5,2)*(COMBIN(2,2)*COMBIN(5,1)+2)*COMBIN(1,1)*COMBIN(1,1)*U29</f>
        <v>840</v>
      </c>
      <c r="W29" s="61"/>
      <c r="Y29" s="77">
        <f t="shared" si="0"/>
        <v>840</v>
      </c>
      <c r="Z29" s="62"/>
      <c r="AB29" s="75">
        <v>0</v>
      </c>
      <c r="AC29" s="61"/>
      <c r="AE29" s="75">
        <v>0</v>
      </c>
      <c r="AF29" s="61"/>
    </row>
    <row r="30" spans="2:32" x14ac:dyDescent="0.2">
      <c r="B30" s="255" t="s">
        <v>162</v>
      </c>
      <c r="C30" s="256">
        <f>M4/$M$25*100</f>
        <v>8.4516565246788369E-2</v>
      </c>
      <c r="D30" s="257">
        <f>M6/$M$25*100</f>
        <v>1.6959657426188866</v>
      </c>
      <c r="E30" s="257">
        <f>M9/$M$25*100</f>
        <v>14.874915483434753</v>
      </c>
      <c r="F30" s="258">
        <f>M13/$M$25*100</f>
        <v>53.482082488167684</v>
      </c>
      <c r="G30" s="257">
        <f>M18/$M$25*100</f>
        <v>27.608744647284201</v>
      </c>
      <c r="H30" s="259">
        <f>M23/$M$25*100</f>
        <v>2.2537750732476898</v>
      </c>
      <c r="I30" s="50"/>
      <c r="J30" s="2"/>
      <c r="K30" s="2"/>
      <c r="L30" s="2"/>
      <c r="O30" s="205"/>
      <c r="P30" s="7" t="s">
        <v>64</v>
      </c>
      <c r="Q30" s="15" t="s">
        <v>72</v>
      </c>
      <c r="R30" s="8" t="s">
        <v>41</v>
      </c>
      <c r="S30" s="8" t="s">
        <v>41</v>
      </c>
      <c r="T30" s="211" t="s">
        <v>39</v>
      </c>
      <c r="U30" s="6">
        <f>COMBIN(4,1)*COMBIN(3,1)*COMBIN(2,2)</f>
        <v>12</v>
      </c>
      <c r="V30" s="54">
        <f>COMBIN(3,3)*COMBIN(5,2)*COMBIN(2,2)*COMBIN(2,2)*COMBIN(7,1)*U30</f>
        <v>840</v>
      </c>
      <c r="W30" s="61"/>
      <c r="Y30" s="77">
        <f t="shared" si="0"/>
        <v>840</v>
      </c>
      <c r="Z30" s="62"/>
      <c r="AB30" s="78">
        <f>COMBIN(3,3)*COMBIN(5,2)*12</f>
        <v>120</v>
      </c>
      <c r="AC30" s="61"/>
      <c r="AE30" s="78">
        <f>COMBIN(3,3)*COMBIN(5,2)*12</f>
        <v>120</v>
      </c>
      <c r="AF30" s="61"/>
    </row>
    <row r="31" spans="2:32" ht="13.5" thickBot="1" x14ac:dyDescent="0.25">
      <c r="B31" s="260" t="s">
        <v>163</v>
      </c>
      <c r="C31" s="261">
        <f>J4/$I$25*100</f>
        <v>7.6818026630249239E-2</v>
      </c>
      <c r="D31" s="97">
        <f>J6/$I$25*100</f>
        <v>1.6729259132809833</v>
      </c>
      <c r="E31" s="97">
        <f>J9/$I$25*100</f>
        <v>15.363605326049845</v>
      </c>
      <c r="F31" s="98">
        <f>J13/$I$25*100</f>
        <v>50.90474564697849</v>
      </c>
      <c r="G31" s="97">
        <f>J18/$I$25*100</f>
        <v>29.634687606691699</v>
      </c>
      <c r="H31" s="99">
        <f>J23/$I$25*100</f>
        <v>2.3472174803687262</v>
      </c>
      <c r="I31" s="50"/>
      <c r="J31" s="2"/>
      <c r="K31" s="2"/>
      <c r="L31" s="2"/>
      <c r="O31" s="205"/>
      <c r="P31" s="215" t="s">
        <v>65</v>
      </c>
      <c r="Q31" s="15" t="s">
        <v>72</v>
      </c>
      <c r="R31" s="8" t="s">
        <v>41</v>
      </c>
      <c r="S31" s="8" t="s">
        <v>157</v>
      </c>
      <c r="T31" s="262" t="s">
        <v>38</v>
      </c>
      <c r="U31" s="6">
        <f>COMBIN(4,1)*COMBIN(3,1)*COMBIN(2,1)</f>
        <v>24</v>
      </c>
      <c r="V31" s="54">
        <f>COMBIN(3,3)*COMBIN(5,2)*COMBIN(3,3)*(COMBIN(1,1)*COMBIN(6,1)+1)*U31</f>
        <v>1680</v>
      </c>
      <c r="W31" s="61"/>
      <c r="Y31" s="77">
        <f>V31</f>
        <v>1680</v>
      </c>
      <c r="Z31" s="62"/>
      <c r="AB31" s="78">
        <f>COMBIN(3,3)*COMBIN(5,2)*12</f>
        <v>120</v>
      </c>
      <c r="AC31" s="61"/>
      <c r="AE31" s="78">
        <f>COMBIN(3,3)*COMBIN(5,2)*12</f>
        <v>120</v>
      </c>
      <c r="AF31" s="61"/>
    </row>
    <row r="32" spans="2:32" ht="39" thickBot="1" x14ac:dyDescent="0.25">
      <c r="B32" s="53" t="s">
        <v>99</v>
      </c>
      <c r="C32" s="87"/>
      <c r="D32" s="87"/>
      <c r="E32" s="87"/>
      <c r="F32" s="87"/>
      <c r="G32" s="87"/>
      <c r="H32" s="87"/>
      <c r="I32" s="50"/>
      <c r="O32" s="205"/>
      <c r="P32" s="7" t="s">
        <v>66</v>
      </c>
      <c r="Q32" s="17" t="s">
        <v>164</v>
      </c>
      <c r="R32" s="8" t="s">
        <v>53</v>
      </c>
      <c r="S32" s="8" t="s">
        <v>38</v>
      </c>
      <c r="T32" s="12" t="s">
        <v>6</v>
      </c>
      <c r="U32" s="6">
        <f>COMBIN(4,1)*COMBIN(3,1)*COMBIN(2,1)</f>
        <v>24</v>
      </c>
      <c r="V32" s="57">
        <f>(COMBIN(3,3)*COMBIN(4,2)*2+COMBIN(2,2)*COMBIN(5,3))*COMBIN(4,4)*COMBIN(1,1)*U32</f>
        <v>528</v>
      </c>
      <c r="W32" s="61"/>
      <c r="Y32" s="77">
        <f t="shared" si="0"/>
        <v>528</v>
      </c>
      <c r="Z32" s="62"/>
      <c r="AB32" s="75">
        <v>0</v>
      </c>
      <c r="AC32" s="61"/>
      <c r="AE32" s="75">
        <v>0</v>
      </c>
      <c r="AF32" s="61"/>
    </row>
    <row r="33" spans="2:32" ht="39" thickBot="1" x14ac:dyDescent="0.25">
      <c r="B33" s="253" t="s">
        <v>95</v>
      </c>
      <c r="C33" s="254" t="s">
        <v>88</v>
      </c>
      <c r="D33" s="91">
        <v>7</v>
      </c>
      <c r="E33" s="100">
        <v>6</v>
      </c>
      <c r="F33" s="101">
        <v>5</v>
      </c>
      <c r="G33" s="91">
        <v>4</v>
      </c>
      <c r="H33" s="102">
        <v>3</v>
      </c>
      <c r="O33" s="205"/>
      <c r="P33" s="215" t="s">
        <v>67</v>
      </c>
      <c r="Q33" s="17" t="s">
        <v>164</v>
      </c>
      <c r="R33" s="8" t="s">
        <v>45</v>
      </c>
      <c r="S33" s="8" t="s">
        <v>41</v>
      </c>
      <c r="T33" s="12" t="s">
        <v>6</v>
      </c>
      <c r="U33" s="6">
        <f>COMBIN(4,1)*COMBIN(3,1)*COMBIN(2,1)</f>
        <v>24</v>
      </c>
      <c r="V33" s="57">
        <f>(COMBIN(3,3)*COMBIN(4,2)*2+COMBIN(2,2)*COMBIN(5,3))*COMBIN(3,3)*COMBIN(2,2)*U33</f>
        <v>528</v>
      </c>
      <c r="W33" s="61"/>
      <c r="Y33" s="77">
        <f t="shared" si="0"/>
        <v>528</v>
      </c>
      <c r="Z33" s="62"/>
      <c r="AB33" s="75">
        <v>0</v>
      </c>
      <c r="AC33" s="61"/>
      <c r="AE33" s="75">
        <v>0</v>
      </c>
      <c r="AF33" s="61"/>
    </row>
    <row r="34" spans="2:32" ht="38.25" x14ac:dyDescent="0.2">
      <c r="B34" s="255" t="s">
        <v>162</v>
      </c>
      <c r="C34" s="256">
        <f>W4/$V$51*100</f>
        <v>0.75485262401150255</v>
      </c>
      <c r="D34" s="257">
        <f>W6/$V$51*100</f>
        <v>10.687754612988257</v>
      </c>
      <c r="E34" s="257">
        <f>W13/$V$51*100</f>
        <v>36.484543493889291</v>
      </c>
      <c r="F34" s="258">
        <f>W23/$V$51*100</f>
        <v>47.879223580158161</v>
      </c>
      <c r="G34" s="257">
        <f>W36/$V$51*100</f>
        <v>3.3549005511622334</v>
      </c>
      <c r="H34" s="259">
        <f>W47/$V$51*100</f>
        <v>0.83872513779055835</v>
      </c>
      <c r="I34" s="49"/>
      <c r="O34" s="205"/>
      <c r="P34" s="215" t="s">
        <v>68</v>
      </c>
      <c r="Q34" s="17" t="s">
        <v>164</v>
      </c>
      <c r="R34" s="8" t="s">
        <v>45</v>
      </c>
      <c r="S34" s="8" t="s">
        <v>38</v>
      </c>
      <c r="T34" s="8" t="s">
        <v>38</v>
      </c>
      <c r="U34" s="6">
        <f>COMBIN(4,1)*COMBIN(3,1)*COMBIN(2,2)</f>
        <v>12</v>
      </c>
      <c r="V34" s="57">
        <f>(COMBIN(3,3)*COMBIN(4,2)*2+COMBIN(2,2)*COMBIN(5,3))*COMBIN(3,3)*COMBIN(2,2)*U34</f>
        <v>264</v>
      </c>
      <c r="W34" s="61"/>
      <c r="Y34" s="77">
        <f t="shared" si="0"/>
        <v>264</v>
      </c>
      <c r="Z34" s="62"/>
      <c r="AB34" s="75">
        <v>0</v>
      </c>
      <c r="AC34" s="61"/>
      <c r="AE34" s="75">
        <v>0</v>
      </c>
      <c r="AF34" s="61"/>
    </row>
    <row r="35" spans="2:32" ht="39" thickBot="1" x14ac:dyDescent="0.25">
      <c r="B35" s="260" t="s">
        <v>163</v>
      </c>
      <c r="C35" s="261">
        <f>$Z4/$Z$51*100</f>
        <v>0.77300613496932513</v>
      </c>
      <c r="D35" s="97">
        <f>Z6/$Z$51*100</f>
        <v>10.944785276073619</v>
      </c>
      <c r="E35" s="97">
        <f>Z13/$Z$51*100</f>
        <v>37.361963190184049</v>
      </c>
      <c r="F35" s="98">
        <f>Z23/$Z$51*100</f>
        <v>49.030674846625764</v>
      </c>
      <c r="G35" s="97">
        <f>Z36/$Z$51*100</f>
        <v>1.2269938650306749</v>
      </c>
      <c r="H35" s="99">
        <f>Z47/$Z$51*100</f>
        <v>0.66257668711656437</v>
      </c>
      <c r="I35" s="49"/>
      <c r="O35" s="192"/>
      <c r="P35" s="227" t="s">
        <v>69</v>
      </c>
      <c r="Q35" s="38" t="s">
        <v>164</v>
      </c>
      <c r="R35" s="31" t="s">
        <v>41</v>
      </c>
      <c r="S35" s="31" t="s">
        <v>41</v>
      </c>
      <c r="T35" s="31" t="s">
        <v>38</v>
      </c>
      <c r="U35" s="32">
        <f>COMBIN(4,1)*COMBIN(3,1)*COMBIN(2,2)</f>
        <v>12</v>
      </c>
      <c r="V35" s="58">
        <f>(COMBIN(3,3)*COMBIN(4,2)*2+COMBIN(2,2)*COMBIN(5,3))*COMBIN(4,4)*COMBIN(1,1)*U35</f>
        <v>264</v>
      </c>
      <c r="W35" s="197"/>
      <c r="Y35" s="76">
        <f t="shared" si="0"/>
        <v>264</v>
      </c>
      <c r="Z35" s="197"/>
      <c r="AB35" s="79">
        <v>0</v>
      </c>
      <c r="AC35" s="197"/>
      <c r="AE35" s="79">
        <v>0</v>
      </c>
      <c r="AF35" s="197"/>
    </row>
    <row r="36" spans="2:32" ht="26.25" thickBot="1" x14ac:dyDescent="0.25">
      <c r="B36" s="53" t="s">
        <v>165</v>
      </c>
      <c r="C36" s="47"/>
      <c r="D36" s="47"/>
      <c r="E36" s="47"/>
      <c r="F36" s="47"/>
      <c r="G36" s="47"/>
      <c r="H36" s="47"/>
      <c r="O36" s="263" t="s">
        <v>73</v>
      </c>
      <c r="P36" s="24" t="s">
        <v>26</v>
      </c>
      <c r="Q36" s="35" t="s">
        <v>53</v>
      </c>
      <c r="R36" s="35" t="s">
        <v>53</v>
      </c>
      <c r="S36" s="39" t="s">
        <v>166</v>
      </c>
      <c r="T36" s="34" t="s">
        <v>6</v>
      </c>
      <c r="U36" s="28">
        <f>COMBIN(4,1)*COMBIN(3,1)*COMBIN(2,2)</f>
        <v>12</v>
      </c>
      <c r="V36" s="70">
        <f>COMBIN(4,4)*COMBIN(4,4)*COMBIN(1,1)*COMBIN(6,1)*U36</f>
        <v>72</v>
      </c>
      <c r="W36" s="62">
        <f>SUM(V36:V46)</f>
        <v>1120</v>
      </c>
      <c r="X36" s="51">
        <f>SUM(V36:V39)</f>
        <v>336</v>
      </c>
      <c r="Y36" s="75">
        <v>0</v>
      </c>
      <c r="Z36" s="62">
        <f>SUM(Y36:Y46)</f>
        <v>400</v>
      </c>
      <c r="AA36" s="51"/>
      <c r="AB36" s="77">
        <v>12</v>
      </c>
      <c r="AC36" s="62">
        <f>SUM(AB36:AB46)</f>
        <v>58</v>
      </c>
      <c r="AE36" s="264">
        <v>0</v>
      </c>
      <c r="AF36" s="62">
        <f>SUM(AE36:AE46)</f>
        <v>34</v>
      </c>
    </row>
    <row r="37" spans="2:32" ht="26.25" thickBot="1" x14ac:dyDescent="0.25">
      <c r="B37" s="253" t="s">
        <v>96</v>
      </c>
      <c r="C37" s="254" t="s">
        <v>88</v>
      </c>
      <c r="D37" s="91">
        <v>7</v>
      </c>
      <c r="E37" s="101">
        <v>6</v>
      </c>
      <c r="F37" s="103">
        <v>5</v>
      </c>
      <c r="G37" s="91">
        <v>4</v>
      </c>
      <c r="H37" s="102">
        <v>3</v>
      </c>
      <c r="O37" s="205"/>
      <c r="P37" s="7" t="s">
        <v>27</v>
      </c>
      <c r="Q37" s="15" t="s">
        <v>53</v>
      </c>
      <c r="R37" s="15" t="s">
        <v>53</v>
      </c>
      <c r="S37" s="8" t="s">
        <v>38</v>
      </c>
      <c r="T37" s="211" t="s">
        <v>39</v>
      </c>
      <c r="U37" s="6">
        <f>COMBIN(4,1)*COMBIN(3,1)*COMBIN(2,2)</f>
        <v>12</v>
      </c>
      <c r="V37" s="71">
        <f>COMBIN(4,4)*COMBIN(4,4)*COMBIN(1,1)*COMBIN(7,1)*U37</f>
        <v>84</v>
      </c>
      <c r="W37" s="61"/>
      <c r="Y37" s="75">
        <v>0</v>
      </c>
      <c r="Z37" s="62"/>
      <c r="AB37" s="75">
        <v>6</v>
      </c>
      <c r="AC37" s="61"/>
      <c r="AE37" s="75">
        <v>6</v>
      </c>
      <c r="AF37" s="61"/>
    </row>
    <row r="38" spans="2:32" x14ac:dyDescent="0.2">
      <c r="B38" s="255" t="s">
        <v>162</v>
      </c>
      <c r="C38" s="256">
        <f>$AC4/$AB$51*100</f>
        <v>1.1049723756906076</v>
      </c>
      <c r="D38" s="257">
        <f>$AC6/$AB$51*100</f>
        <v>12.89134438305709</v>
      </c>
      <c r="E38" s="258">
        <f>$AC13/$AB$51*100</f>
        <v>41.436464088397791</v>
      </c>
      <c r="F38" s="258">
        <f>$AC23/$AB$51*100</f>
        <v>41.436464088397791</v>
      </c>
      <c r="G38" s="257">
        <f>$AC36/$AB$51*100</f>
        <v>2.6703499079189688</v>
      </c>
      <c r="H38" s="259">
        <f>$AC47/$AB$51*100</f>
        <v>0.46040515653775327</v>
      </c>
      <c r="I38" s="49"/>
      <c r="O38" s="205"/>
      <c r="P38" s="7" t="s">
        <v>28</v>
      </c>
      <c r="Q38" s="15" t="s">
        <v>53</v>
      </c>
      <c r="R38" s="13" t="s">
        <v>167</v>
      </c>
      <c r="S38" s="8" t="s">
        <v>41</v>
      </c>
      <c r="T38" s="12" t="s">
        <v>6</v>
      </c>
      <c r="U38" s="6">
        <f>COMBIN(4,1)*COMBIN(3,1)*COMBIN(2,1)</f>
        <v>24</v>
      </c>
      <c r="V38" s="71">
        <f>COMBIN(4,4)*COMBIN(3,3)*COMBIN(4,1)*COMBIN(2,2)*U38</f>
        <v>96</v>
      </c>
      <c r="W38" s="61"/>
      <c r="Y38" s="75">
        <v>0</v>
      </c>
      <c r="Z38" s="62"/>
      <c r="AB38" s="75">
        <v>0</v>
      </c>
      <c r="AC38" s="61"/>
      <c r="AE38" s="75">
        <v>0</v>
      </c>
      <c r="AF38" s="61"/>
    </row>
    <row r="39" spans="2:32" ht="26.25" thickBot="1" x14ac:dyDescent="0.25">
      <c r="B39" s="260" t="s">
        <v>163</v>
      </c>
      <c r="C39" s="261">
        <f>AF4/$AF$51*100</f>
        <v>1.1173184357541899</v>
      </c>
      <c r="D39" s="261">
        <f>AF6/$AF$51*100</f>
        <v>13.03538175046555</v>
      </c>
      <c r="E39" s="265">
        <f>AF13/$AF$51*100</f>
        <v>41.899441340782126</v>
      </c>
      <c r="F39" s="265">
        <f>AF23/$AF$51*100</f>
        <v>41.899441340782126</v>
      </c>
      <c r="G39" s="261">
        <f>AF36/$AF$51*100</f>
        <v>1.5828677839851024</v>
      </c>
      <c r="H39" s="266">
        <f>AF47/$AF$51*100</f>
        <v>0.46554934823091249</v>
      </c>
      <c r="I39" s="49"/>
      <c r="O39" s="267"/>
      <c r="P39" s="64" t="s">
        <v>29</v>
      </c>
      <c r="Q39" s="69" t="s">
        <v>53</v>
      </c>
      <c r="R39" s="74" t="s">
        <v>168</v>
      </c>
      <c r="S39" s="66" t="s">
        <v>38</v>
      </c>
      <c r="T39" s="66" t="s">
        <v>38</v>
      </c>
      <c r="U39" s="67">
        <f>COMBIN(4,1)*COMBIN(3,1)*COMBIN(2,2)</f>
        <v>12</v>
      </c>
      <c r="V39" s="72">
        <f>COMBIN(4,4)*(COMBIN(3,3)*COMBIN(4,1)+3)*COMBIN(2,2)*U39</f>
        <v>84</v>
      </c>
      <c r="W39" s="68"/>
      <c r="Y39" s="81">
        <f>COMBIN(4,4)*COMBIN(3,3)*COMBIN(4,1)*COMBIN(2,2)*U39</f>
        <v>48</v>
      </c>
      <c r="Z39" s="68"/>
      <c r="AB39" s="81">
        <v>0</v>
      </c>
      <c r="AC39" s="68"/>
      <c r="AE39" s="81">
        <v>0</v>
      </c>
      <c r="AF39" s="68"/>
    </row>
    <row r="40" spans="2:32" s="104" customFormat="1" ht="26.25" thickBot="1" x14ac:dyDescent="0.25">
      <c r="B40" s="53" t="s">
        <v>100</v>
      </c>
      <c r="C40" s="4"/>
      <c r="D40"/>
      <c r="E40"/>
      <c r="F40"/>
      <c r="G40"/>
      <c r="H40"/>
      <c r="I40"/>
      <c r="O40" s="263" t="s">
        <v>74</v>
      </c>
      <c r="P40" s="268" t="s">
        <v>31</v>
      </c>
      <c r="Q40" s="36" t="s">
        <v>53</v>
      </c>
      <c r="R40" s="26" t="s">
        <v>45</v>
      </c>
      <c r="S40" s="26" t="s">
        <v>169</v>
      </c>
      <c r="T40" s="105" t="s">
        <v>6</v>
      </c>
      <c r="U40" s="106">
        <f>COMBIN(4,1)*COMBIN(3,1)*COMBIN(2,1)</f>
        <v>24</v>
      </c>
      <c r="V40" s="107">
        <f>COMBIN(4,4)*COMBIN(3,3)*COMBIN(2,2)*COMBIN(5,1)*U40</f>
        <v>120</v>
      </c>
      <c r="W40" s="108"/>
      <c r="X40" s="109">
        <f>SUM(V40:V44)</f>
        <v>672</v>
      </c>
      <c r="Y40" s="110">
        <v>0</v>
      </c>
      <c r="Z40" s="108"/>
      <c r="AA40" s="109"/>
      <c r="AB40" s="110">
        <v>12</v>
      </c>
      <c r="AC40" s="108"/>
      <c r="AE40" s="269">
        <v>0</v>
      </c>
      <c r="AF40" s="108"/>
    </row>
    <row r="41" spans="2:32" ht="60.75" thickBot="1" x14ac:dyDescent="0.25">
      <c r="B41" s="253" t="s">
        <v>170</v>
      </c>
      <c r="C41" s="270" t="s">
        <v>102</v>
      </c>
      <c r="D41" s="271" t="s">
        <v>171</v>
      </c>
      <c r="E41" s="272" t="s">
        <v>200</v>
      </c>
      <c r="F41" s="272" t="s">
        <v>201</v>
      </c>
      <c r="G41" s="104"/>
      <c r="H41" s="104"/>
      <c r="I41" s="104"/>
      <c r="O41" s="205"/>
      <c r="P41" s="7" t="s">
        <v>37</v>
      </c>
      <c r="Q41" s="15" t="s">
        <v>53</v>
      </c>
      <c r="R41" s="13" t="s">
        <v>45</v>
      </c>
      <c r="S41" s="8" t="s">
        <v>41</v>
      </c>
      <c r="T41" s="211" t="s">
        <v>39</v>
      </c>
      <c r="U41" s="6">
        <f>COMBIN(4,1)*COMBIN(3,1)*COMBIN(2,1)</f>
        <v>24</v>
      </c>
      <c r="V41" s="71">
        <f>COMBIN(4,4)*COMBIN(3,3)*COMBIN(2,2)*COMBIN(7,1)*U41</f>
        <v>168</v>
      </c>
      <c r="W41" s="61"/>
      <c r="Y41" s="75">
        <v>0</v>
      </c>
      <c r="Z41" s="62"/>
      <c r="AB41" s="78">
        <v>24</v>
      </c>
      <c r="AC41" s="61"/>
      <c r="AE41" s="78">
        <v>24</v>
      </c>
      <c r="AF41" s="61"/>
    </row>
    <row r="42" spans="2:32" ht="13.5" thickBot="1" x14ac:dyDescent="0.25">
      <c r="B42" s="273" t="s">
        <v>103</v>
      </c>
      <c r="C42" s="274">
        <f>I25*2+L25</f>
        <v>164720</v>
      </c>
      <c r="D42" s="275">
        <f>C42/COMBIN(32,10)*100</f>
        <v>0.25533139137627214</v>
      </c>
      <c r="E42" s="472">
        <f>C42/C43</f>
        <v>1.6708593686602289</v>
      </c>
      <c r="F42" s="475">
        <f>C42/(C43+C44)</f>
        <v>1.5679853786696112</v>
      </c>
      <c r="H42">
        <f>(C42*COMBIN(22,10)-(L25*2*(Y51+AE51)+2*I25*(V51+Y51+AB51+AE51)))/(COMBIN(32,10)*COMBIN(22,10))*100</f>
        <v>0.2277090100444823</v>
      </c>
      <c r="O42" s="205"/>
      <c r="P42" s="7" t="s">
        <v>75</v>
      </c>
      <c r="Q42" s="15" t="s">
        <v>53</v>
      </c>
      <c r="R42" s="13" t="s">
        <v>45</v>
      </c>
      <c r="S42" s="8" t="s">
        <v>157</v>
      </c>
      <c r="T42" s="8" t="s">
        <v>38</v>
      </c>
      <c r="U42" s="6">
        <f>COMBIN(4,1)*COMBIN(3,1)*COMBIN(2,1)</f>
        <v>24</v>
      </c>
      <c r="V42" s="71">
        <f>COMBIN(4,4)*COMBIN(3,3)*COMBIN(1,1)*(COMBIN(1,1)*COMBIN(6,1)+1)*U42</f>
        <v>168</v>
      </c>
      <c r="W42" s="61"/>
      <c r="Y42" s="75">
        <f>COMBIN(4,4)*COMBIN(3,3)*COMBIN(1,1)*COMBIN(1,1)*COMBIN(6,1)*U42</f>
        <v>144</v>
      </c>
      <c r="Z42" s="62"/>
      <c r="AB42" s="75">
        <v>0</v>
      </c>
      <c r="AC42" s="61"/>
      <c r="AE42" s="75">
        <v>0</v>
      </c>
      <c r="AF42" s="61"/>
    </row>
    <row r="43" spans="2:32" ht="13.5" thickTop="1" x14ac:dyDescent="0.2">
      <c r="B43" s="276" t="s">
        <v>104</v>
      </c>
      <c r="C43" s="277">
        <f>V51+Y51*2</f>
        <v>98584</v>
      </c>
      <c r="D43" s="278">
        <f>C43/COMBIN(32,10)*100</f>
        <v>0.15281441165273443</v>
      </c>
      <c r="E43" s="473"/>
      <c r="F43" s="476"/>
      <c r="O43" s="205"/>
      <c r="P43" s="7" t="s">
        <v>76</v>
      </c>
      <c r="Q43" s="13" t="s">
        <v>167</v>
      </c>
      <c r="R43" s="13" t="s">
        <v>45</v>
      </c>
      <c r="S43" s="8" t="s">
        <v>45</v>
      </c>
      <c r="T43" s="14" t="s">
        <v>6</v>
      </c>
      <c r="U43" s="6">
        <f>COMBIN(4,1)*COMBIN(3,1)*COMBIN(2,2)</f>
        <v>12</v>
      </c>
      <c r="V43" s="71">
        <f>COMBIN(3,3)*COMBIN(4,1)*COMBIN(3,3)*COMBIN(3,3)*U43</f>
        <v>48</v>
      </c>
      <c r="W43" s="61"/>
      <c r="Y43" s="75">
        <v>0</v>
      </c>
      <c r="Z43" s="62"/>
      <c r="AB43" s="75">
        <v>0</v>
      </c>
      <c r="AC43" s="61"/>
      <c r="AE43" s="75">
        <v>0</v>
      </c>
      <c r="AF43" s="61"/>
    </row>
    <row r="44" spans="2:32" ht="26.25" thickBot="1" x14ac:dyDescent="0.25">
      <c r="B44" s="279" t="s">
        <v>172</v>
      </c>
      <c r="C44" s="280">
        <f>AB51+2*AE51</f>
        <v>6468</v>
      </c>
      <c r="D44" s="281">
        <f>C44/COMBIN(32,10)*100</f>
        <v>1.0026004367543275E-2</v>
      </c>
      <c r="E44" s="474"/>
      <c r="F44" s="477"/>
      <c r="O44" s="267"/>
      <c r="P44" s="64" t="s">
        <v>77</v>
      </c>
      <c r="Q44" s="74" t="s">
        <v>168</v>
      </c>
      <c r="R44" s="65" t="s">
        <v>45</v>
      </c>
      <c r="S44" s="66" t="s">
        <v>41</v>
      </c>
      <c r="T44" s="66" t="s">
        <v>38</v>
      </c>
      <c r="U44" s="67">
        <f>COMBIN(4,1)*COMBIN(3,1)*COMBIN(2,1)</f>
        <v>24</v>
      </c>
      <c r="V44" s="72">
        <f>(COMBIN(3,3)*COMBIN(4,1)+3)*COMBIN(3,3)*COMBIN(3,3)*U44</f>
        <v>168</v>
      </c>
      <c r="W44" s="68"/>
      <c r="Y44" s="282">
        <f>COMBIN(3,3)*COMBIN(4,1)*COMBIN(3,3)*COMBIN(3,3)*U44</f>
        <v>96</v>
      </c>
      <c r="Z44" s="68"/>
      <c r="AB44" s="81">
        <v>0</v>
      </c>
      <c r="AC44" s="68"/>
      <c r="AE44" s="81">
        <v>0</v>
      </c>
      <c r="AF44" s="68"/>
    </row>
    <row r="45" spans="2:32" ht="25.5" x14ac:dyDescent="0.2">
      <c r="O45" s="263" t="s">
        <v>78</v>
      </c>
      <c r="P45" s="24" t="s">
        <v>79</v>
      </c>
      <c r="Q45" s="35" t="s">
        <v>53</v>
      </c>
      <c r="R45" s="26" t="s">
        <v>41</v>
      </c>
      <c r="S45" s="39" t="s">
        <v>41</v>
      </c>
      <c r="T45" s="39" t="s">
        <v>157</v>
      </c>
      <c r="U45" s="28">
        <f>COMBIN(4,1)*COMBIN(3,1)*COMBIN(2,2)</f>
        <v>12</v>
      </c>
      <c r="V45" s="56">
        <f>COMBIN(4,4)*COMBIN(2,2)*COMBIN(2,2)*(COMBIN(1,1)*COMBIN(6,1)+1)*U45</f>
        <v>84</v>
      </c>
      <c r="W45" s="62"/>
      <c r="X45" s="51">
        <f>SUM(V45:V46)</f>
        <v>112</v>
      </c>
      <c r="Y45" s="85">
        <f>COMBIN(4,4)*COMBIN(2,2)*COMBIN(2,2)*(COMBIN(1,1)*COMBIN(6,1)+1)*U45</f>
        <v>84</v>
      </c>
      <c r="Z45" s="62"/>
      <c r="AA45" s="51"/>
      <c r="AB45" s="80">
        <v>4</v>
      </c>
      <c r="AC45" s="62"/>
      <c r="AE45" s="80">
        <v>4</v>
      </c>
      <c r="AF45" s="62"/>
    </row>
    <row r="46" spans="2:32" ht="26.25" thickBot="1" x14ac:dyDescent="0.25">
      <c r="O46" s="192"/>
      <c r="P46" s="29" t="s">
        <v>80</v>
      </c>
      <c r="Q46" s="40" t="s">
        <v>168</v>
      </c>
      <c r="R46" s="40" t="s">
        <v>41</v>
      </c>
      <c r="S46" s="31" t="s">
        <v>41</v>
      </c>
      <c r="T46" s="31" t="s">
        <v>41</v>
      </c>
      <c r="U46" s="32">
        <f>COMBIN(4,1)*COMBIN(3,3)</f>
        <v>4</v>
      </c>
      <c r="V46" s="55">
        <f>(COMBIN(3,3)*COMBIN(4,1)+3)*COMBIN(2,2)*COMBIN(2,2)*COMBIN(2,2)*U46</f>
        <v>28</v>
      </c>
      <c r="W46" s="63"/>
      <c r="Y46" s="88">
        <f>(COMBIN(3,3)*COMBIN(4,1)+3)*COMBIN(2,2)*COMBIN(2,2)*COMBIN(2,2)*U46</f>
        <v>28</v>
      </c>
      <c r="Z46" s="197"/>
      <c r="AB46" s="79">
        <v>0</v>
      </c>
      <c r="AC46" s="197"/>
      <c r="AE46" s="79">
        <v>0</v>
      </c>
      <c r="AF46" s="197"/>
    </row>
    <row r="47" spans="2:32" ht="26.25" thickTop="1" x14ac:dyDescent="0.2">
      <c r="O47" s="263" t="s">
        <v>81</v>
      </c>
      <c r="P47" s="24" t="s">
        <v>82</v>
      </c>
      <c r="Q47" s="35" t="s">
        <v>45</v>
      </c>
      <c r="R47" s="35" t="s">
        <v>45</v>
      </c>
      <c r="S47" s="35" t="s">
        <v>45</v>
      </c>
      <c r="T47" s="191" t="s">
        <v>39</v>
      </c>
      <c r="U47" s="28">
        <f>COMBIN(4,1)*COMBIN(3,3)</f>
        <v>4</v>
      </c>
      <c r="V47" s="56">
        <f>COMBIN(3,3)*COMBIN(3,3)*COMBIN(3,3)*COMBIN(7,1)*U47</f>
        <v>28</v>
      </c>
      <c r="W47" s="62">
        <f>SUM(V47:V50)</f>
        <v>280</v>
      </c>
      <c r="Y47" s="75">
        <v>0</v>
      </c>
      <c r="Z47" s="62">
        <f>SUM(Y47:Y50)</f>
        <v>216</v>
      </c>
      <c r="AB47" s="77">
        <v>4</v>
      </c>
      <c r="AC47" s="62">
        <f>SUM(AB47:AB50)</f>
        <v>10</v>
      </c>
      <c r="AE47" s="77">
        <v>4</v>
      </c>
      <c r="AF47" s="62">
        <f>SUM(AE47:AE50)</f>
        <v>10</v>
      </c>
    </row>
    <row r="48" spans="2:32" ht="25.5" x14ac:dyDescent="0.2">
      <c r="O48" s="283"/>
      <c r="P48" s="215" t="s">
        <v>83</v>
      </c>
      <c r="Q48" s="15" t="s">
        <v>45</v>
      </c>
      <c r="R48" s="15" t="s">
        <v>45</v>
      </c>
      <c r="S48" s="13" t="s">
        <v>158</v>
      </c>
      <c r="T48" s="8" t="s">
        <v>38</v>
      </c>
      <c r="U48" s="6">
        <f>COMBIN(4,1)*COMBIN(3,1)*COMBIN(2,2)</f>
        <v>12</v>
      </c>
      <c r="V48" s="54">
        <f>COMBIN(3,3)*COMBIN(3,3)*(COMBIN(2,2)*COMBIN(5,1)+2)*COMBIN(1,1)*U48</f>
        <v>84</v>
      </c>
      <c r="W48" s="61"/>
      <c r="Y48" s="75">
        <f>COMBIN(3,3)*COMBIN(3,3)*COMBIN(2,2)*COMBIN(4,1)*COMBIN(1,1)*U48</f>
        <v>48</v>
      </c>
      <c r="Z48" s="62"/>
      <c r="AB48" s="75">
        <v>0</v>
      </c>
      <c r="AC48" s="61"/>
      <c r="AE48" s="75">
        <v>0</v>
      </c>
      <c r="AF48" s="61"/>
    </row>
    <row r="49" spans="15:32" x14ac:dyDescent="0.2">
      <c r="O49" s="283"/>
      <c r="P49" s="7" t="s">
        <v>84</v>
      </c>
      <c r="Q49" s="15" t="s">
        <v>45</v>
      </c>
      <c r="R49" s="15" t="s">
        <v>45</v>
      </c>
      <c r="S49" s="8" t="s">
        <v>41</v>
      </c>
      <c r="T49" s="8" t="s">
        <v>157</v>
      </c>
      <c r="U49" s="6">
        <f>COMBIN(4,1)*COMBIN(3,1)*COMBIN(2,2)</f>
        <v>12</v>
      </c>
      <c r="V49" s="54">
        <f>COMBIN(3,3)*COMBIN(3,3)*COMBIN(2,2)*(COMBIN(1,1)*COMBIN(6,1)+1)*U49</f>
        <v>84</v>
      </c>
      <c r="W49" s="61"/>
      <c r="Y49" s="77">
        <f t="shared" si="0"/>
        <v>84</v>
      </c>
      <c r="Z49" s="62"/>
      <c r="AB49" s="75">
        <v>6</v>
      </c>
      <c r="AC49" s="61"/>
      <c r="AE49" s="75">
        <v>6</v>
      </c>
      <c r="AF49" s="61"/>
    </row>
    <row r="50" spans="15:32" ht="26.25" thickBot="1" x14ac:dyDescent="0.25">
      <c r="O50" s="284"/>
      <c r="P50" s="243" t="s">
        <v>85</v>
      </c>
      <c r="Q50" s="18" t="s">
        <v>45</v>
      </c>
      <c r="R50" s="48" t="s">
        <v>158</v>
      </c>
      <c r="S50" s="19" t="s">
        <v>41</v>
      </c>
      <c r="T50" s="19" t="s">
        <v>41</v>
      </c>
      <c r="U50" s="11">
        <f>COMBIN(4,1)*COMBIN(3,1)*COMBIN(2,2)</f>
        <v>12</v>
      </c>
      <c r="V50" s="60">
        <f>COMBIN(3,3)*COMBIN(2,2)*(COMBIN(2,2)*COMBIN(5,1)+2)*COMBIN(1,1)*U50</f>
        <v>84</v>
      </c>
      <c r="W50" s="285"/>
      <c r="Y50" s="86">
        <f t="shared" si="0"/>
        <v>84</v>
      </c>
      <c r="Z50" s="286"/>
      <c r="AB50" s="82">
        <v>0</v>
      </c>
      <c r="AC50" s="285"/>
      <c r="AE50" s="82">
        <v>0</v>
      </c>
      <c r="AF50" s="285"/>
    </row>
    <row r="51" spans="15:32" x14ac:dyDescent="0.2">
      <c r="V51" s="22">
        <f>SUM(V4:V50)</f>
        <v>33384</v>
      </c>
      <c r="W51">
        <f>SUM(W4:W50)</f>
        <v>33384</v>
      </c>
      <c r="Y51" s="22">
        <f>SUM(Y4:Y50)</f>
        <v>32600</v>
      </c>
      <c r="Z51">
        <f>SUM(Z4:Z50)</f>
        <v>32600</v>
      </c>
      <c r="AB51" s="43">
        <f>SUM(AB4:AB50)</f>
        <v>2172</v>
      </c>
      <c r="AC51">
        <f>SUM(AC4:AC50)</f>
        <v>2172</v>
      </c>
      <c r="AE51" s="43">
        <f>SUM(AE4:AE50)</f>
        <v>2148</v>
      </c>
      <c r="AF51">
        <f>SUM(AF4:AF50)</f>
        <v>2148</v>
      </c>
    </row>
    <row r="52" spans="15:32" x14ac:dyDescent="0.2">
      <c r="U52" s="83" t="s">
        <v>93</v>
      </c>
      <c r="V52" s="250">
        <f>V51/COMBIN(32,10)*100</f>
        <v>5.1748319388692746E-2</v>
      </c>
      <c r="W52" s="287"/>
      <c r="X52" s="288"/>
      <c r="Y52" s="289">
        <f>Y51/COMBIN(32,10)*100</f>
        <v>5.0533046132020837E-2</v>
      </c>
      <c r="Z52" s="23"/>
      <c r="AA52" s="23"/>
      <c r="AB52" s="252">
        <f>AB51/COMBIN(32,10)*100</f>
        <v>3.3668029508818792E-3</v>
      </c>
      <c r="AE52" s="252">
        <f>AE51/COMBIN(32,10)*100</f>
        <v>3.3296007083306986E-3</v>
      </c>
    </row>
    <row r="58" spans="15:32" x14ac:dyDescent="0.2">
      <c r="V58" s="83" t="s">
        <v>173</v>
      </c>
      <c r="W58">
        <f>L25*Y51+I25*V51</f>
        <v>3878846976</v>
      </c>
    </row>
    <row r="59" spans="15:32" x14ac:dyDescent="0.2">
      <c r="V59" s="83" t="s">
        <v>174</v>
      </c>
      <c r="W59">
        <f>L25*V51+I25*Y51</f>
        <v>3897763328</v>
      </c>
    </row>
  </sheetData>
  <autoFilter ref="O3:V3"/>
  <mergeCells count="2">
    <mergeCell ref="E42:E44"/>
    <mergeCell ref="F42:F44"/>
  </mergeCell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1"/>
  <sheetViews>
    <sheetView topLeftCell="A18" workbookViewId="0">
      <selection activeCell="H54" sqref="H54"/>
    </sheetView>
  </sheetViews>
  <sheetFormatPr defaultRowHeight="15" x14ac:dyDescent="0.25"/>
  <cols>
    <col min="1" max="1" width="9.140625" style="111"/>
    <col min="2" max="2" width="9.5703125" style="111" customWidth="1"/>
    <col min="3" max="3" width="9.140625" style="111"/>
    <col min="4" max="4" width="11.140625" style="111" customWidth="1"/>
    <col min="5" max="5" width="12" style="111" customWidth="1"/>
    <col min="6" max="6" width="9.140625" style="111" customWidth="1"/>
    <col min="7" max="7" width="9.140625" style="111"/>
    <col min="8" max="8" width="10.28515625" style="111" customWidth="1"/>
    <col min="9" max="16384" width="9.140625" style="111"/>
  </cols>
  <sheetData>
    <row r="1" spans="2:27" x14ac:dyDescent="0.25">
      <c r="C1" s="112" t="s">
        <v>105</v>
      </c>
      <c r="D1" s="112"/>
      <c r="E1" s="112"/>
      <c r="F1" s="112"/>
      <c r="G1" s="112"/>
      <c r="H1" s="112"/>
      <c r="I1" s="112"/>
      <c r="J1" s="113"/>
    </row>
    <row r="2" spans="2:27" ht="15.75" thickBot="1" x14ac:dyDescent="0.3">
      <c r="C2" s="113"/>
      <c r="E2" s="114"/>
      <c r="F2" s="483" t="s">
        <v>106</v>
      </c>
      <c r="G2" s="483"/>
      <c r="H2" s="483"/>
      <c r="I2" s="483"/>
    </row>
    <row r="3" spans="2:27" ht="15.75" thickBot="1" x14ac:dyDescent="0.3">
      <c r="B3" s="115" t="s">
        <v>107</v>
      </c>
      <c r="C3" s="115" t="s">
        <v>108</v>
      </c>
      <c r="D3" s="116" t="s">
        <v>109</v>
      </c>
      <c r="E3" s="116" t="s">
        <v>110</v>
      </c>
      <c r="F3" s="116">
        <v>1</v>
      </c>
      <c r="G3" s="116">
        <v>2</v>
      </c>
      <c r="H3" s="116">
        <v>3</v>
      </c>
      <c r="I3" s="116">
        <v>4</v>
      </c>
      <c r="K3" s="117" t="s">
        <v>111</v>
      </c>
      <c r="L3" s="117"/>
      <c r="M3" s="117"/>
      <c r="N3" s="117"/>
      <c r="O3" s="117"/>
      <c r="P3" s="117"/>
      <c r="Q3" s="117"/>
      <c r="R3" s="117"/>
      <c r="S3" s="117"/>
      <c r="T3" s="117"/>
    </row>
    <row r="4" spans="2:27" x14ac:dyDescent="0.25">
      <c r="B4" s="118">
        <f>$E4*3/4*10-(10-$D4)*$E4</f>
        <v>75</v>
      </c>
      <c r="C4" s="118">
        <f>$E4*3/4*10-(10-$D4)*$E4</f>
        <v>75</v>
      </c>
      <c r="D4" s="119">
        <v>10</v>
      </c>
      <c r="E4" s="120">
        <v>10</v>
      </c>
      <c r="F4" s="121">
        <f>$E$4*F$3*3/4*10+(10-$D$4+F$3+3*F$3)*$E$4</f>
        <v>115</v>
      </c>
      <c r="G4" s="122">
        <f>$E$4*G$3*3/4*10+(10-$D$4+G$3+3*G$3)*$E$4</f>
        <v>230</v>
      </c>
      <c r="H4" s="122">
        <f>$E$4*H$3*3/4*10+(10-$D$4+H$3+3*H$3)*$E$4</f>
        <v>345</v>
      </c>
      <c r="I4" s="123">
        <f>$E$4*I$3*3/4*10+(10-$D$4+I$3+3*I$3)*$E$4</f>
        <v>460</v>
      </c>
      <c r="K4" s="124" t="s">
        <v>112</v>
      </c>
    </row>
    <row r="5" spans="2:27" x14ac:dyDescent="0.25">
      <c r="B5" s="125">
        <f>$E5*3/4*10</f>
        <v>60</v>
      </c>
      <c r="C5" s="125">
        <f>$E5*3/4*10-(10-$D5)*$E5</f>
        <v>52</v>
      </c>
      <c r="D5" s="126">
        <v>9</v>
      </c>
      <c r="E5" s="127">
        <v>8</v>
      </c>
      <c r="F5" s="128">
        <f>$E5*F$3*3/4*10+(10-$D$5+F$3+3*F$3)*$E$5</f>
        <v>100</v>
      </c>
      <c r="G5" s="129">
        <f>$E5*G$3*3/4*10+(10-$D$5+G$3+3*G$3)*$E$5</f>
        <v>192</v>
      </c>
      <c r="H5" s="130">
        <f>$E5*H$3*3/4*10+(10-$D$5+H$3+3*H$3)*$E$5</f>
        <v>284</v>
      </c>
      <c r="I5" s="131">
        <f>$E5*I$3*3/4*10+(10-$D$5+I$3+3*I$3)*$E$5</f>
        <v>376</v>
      </c>
      <c r="K5" s="124" t="s">
        <v>113</v>
      </c>
      <c r="M5" s="124"/>
      <c r="O5" s="124"/>
      <c r="Q5" s="124"/>
      <c r="S5" s="124"/>
    </row>
    <row r="6" spans="2:27" x14ac:dyDescent="0.25">
      <c r="B6" s="132" t="s">
        <v>6</v>
      </c>
      <c r="C6" s="125">
        <f>$E6*3/4*10</f>
        <v>75</v>
      </c>
      <c r="D6" s="126" t="s">
        <v>114</v>
      </c>
      <c r="E6" s="127">
        <v>10</v>
      </c>
      <c r="F6" s="133">
        <f>$E$6*3/4*F$3*10</f>
        <v>75</v>
      </c>
      <c r="G6" s="134">
        <f>$E$6*3/4*G$3*10</f>
        <v>150</v>
      </c>
      <c r="H6" s="134">
        <f>$E$6*3/4*H$3*10</f>
        <v>225</v>
      </c>
      <c r="I6" s="135">
        <f>$E$6*3/4*I$3*10</f>
        <v>300</v>
      </c>
    </row>
    <row r="7" spans="2:27" x14ac:dyDescent="0.25">
      <c r="B7" s="125">
        <f>$E7*3/4*10</f>
        <v>45</v>
      </c>
      <c r="C7" s="125">
        <f>$E7*3/4*10-(10-$D7)*$E7</f>
        <v>33</v>
      </c>
      <c r="D7" s="126">
        <v>8</v>
      </c>
      <c r="E7" s="127">
        <v>6</v>
      </c>
      <c r="F7" s="136">
        <f>$E7*F$3*3/4*10+(10-$D$7+F$3+3*F$3)*$E$7</f>
        <v>81</v>
      </c>
      <c r="G7" s="130">
        <f>$E7*G$3*3/4*10+(10-$D$7+G$3+3*G$3)*$E$7</f>
        <v>150</v>
      </c>
      <c r="H7" s="137">
        <f>$E7*H$3*3/4*10+(10-$D$7+H$3+3*H$3)*$E$7</f>
        <v>219</v>
      </c>
      <c r="I7" s="138">
        <f>$E7*I$3*3/4*10+(10-$D$7+I$3+3*I$3)*$E$7</f>
        <v>288</v>
      </c>
      <c r="K7" s="124" t="s">
        <v>115</v>
      </c>
    </row>
    <row r="8" spans="2:27" x14ac:dyDescent="0.25">
      <c r="B8" s="125">
        <f>$E8*3/4*10-(10-$D8-2)*$E8</f>
        <v>26</v>
      </c>
      <c r="C8" s="125">
        <f>$E8*3/4*10-(10-$D8)*$E8</f>
        <v>18</v>
      </c>
      <c r="D8" s="126">
        <v>7</v>
      </c>
      <c r="E8" s="127">
        <v>4</v>
      </c>
      <c r="F8" s="139">
        <f>$E$8*F$3*3/4*10+(10-$D$8+F$3+3*F$3)*$E$8</f>
        <v>58</v>
      </c>
      <c r="G8" s="137">
        <f>$E$8*G$3*3/4*10+(10-$D$8+G$3+3*G$3)*$E$8</f>
        <v>104</v>
      </c>
      <c r="H8" s="129">
        <f>$E$8*H$3*3/4*10+(10-$D$8+H$3+3*H$3)*$E$8</f>
        <v>150</v>
      </c>
      <c r="I8" s="140">
        <f>$E$8*I$3*3/4*10+(10-$D$8+I$3+3*I$3)*$E$8</f>
        <v>196</v>
      </c>
      <c r="K8" s="124" t="s">
        <v>116</v>
      </c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</row>
    <row r="9" spans="2:27" ht="15.75" thickBot="1" x14ac:dyDescent="0.3">
      <c r="B9" s="141">
        <f>$E9*3/4*10-(10-$D9-2)*$E9</f>
        <v>11</v>
      </c>
      <c r="C9" s="141">
        <f>$E9*3/4*10-(10-$D9)*$E9</f>
        <v>7</v>
      </c>
      <c r="D9" s="142">
        <v>6</v>
      </c>
      <c r="E9" s="143">
        <v>2</v>
      </c>
      <c r="F9" s="144">
        <f>$E$9*F$3*3/4*10+(10-$D$9+F$3+3*F$3)*$E$9</f>
        <v>31</v>
      </c>
      <c r="G9" s="145">
        <f>$E$9*G$3*3/4*10+(10-$D$9+G$3+3*G$3)*$E$9</f>
        <v>54</v>
      </c>
      <c r="H9" s="145">
        <f>$E$9*H$3*3/4*10+(10-$D$9+H$3+3*H$3)*$E$9</f>
        <v>77</v>
      </c>
      <c r="I9" s="146">
        <f>$E$9*I$3*3/4*10+(10-$D$9+I$3+3*I$3)*$E$9</f>
        <v>100</v>
      </c>
      <c r="K9" s="124" t="s">
        <v>117</v>
      </c>
    </row>
    <row r="10" spans="2:27" x14ac:dyDescent="0.25">
      <c r="K10" s="124" t="s">
        <v>118</v>
      </c>
    </row>
    <row r="11" spans="2:27" x14ac:dyDescent="0.25">
      <c r="C11" s="112" t="s">
        <v>119</v>
      </c>
      <c r="D11" s="112"/>
      <c r="E11" s="112"/>
      <c r="F11" s="112"/>
      <c r="G11" s="112"/>
      <c r="H11" s="112"/>
      <c r="I11" s="112"/>
      <c r="J11" s="113"/>
    </row>
    <row r="12" spans="2:27" ht="15.75" thickBot="1" x14ac:dyDescent="0.3">
      <c r="C12" s="113"/>
      <c r="E12" s="114"/>
      <c r="F12" s="483" t="s">
        <v>106</v>
      </c>
      <c r="G12" s="483"/>
      <c r="H12" s="483"/>
      <c r="I12" s="483"/>
    </row>
    <row r="13" spans="2:27" ht="15.75" thickBot="1" x14ac:dyDescent="0.3">
      <c r="B13" s="147" t="s">
        <v>107</v>
      </c>
      <c r="C13" s="147" t="s">
        <v>108</v>
      </c>
      <c r="D13" s="116" t="s">
        <v>109</v>
      </c>
      <c r="E13" s="116" t="s">
        <v>110</v>
      </c>
      <c r="F13" s="116">
        <v>1</v>
      </c>
      <c r="G13" s="116">
        <v>2</v>
      </c>
      <c r="H13" s="116">
        <v>3</v>
      </c>
      <c r="I13" s="116">
        <v>4</v>
      </c>
    </row>
    <row r="14" spans="2:27" x14ac:dyDescent="0.25">
      <c r="B14" s="148">
        <f>$E4*2/3*10-(10-$D4)*$E4</f>
        <v>66.666666666666671</v>
      </c>
      <c r="C14" s="148">
        <f>$E4*2/3*10-(10-$D4)*$E4</f>
        <v>66.666666666666671</v>
      </c>
      <c r="D14" s="149">
        <v>10</v>
      </c>
      <c r="E14" s="120">
        <v>10</v>
      </c>
      <c r="F14" s="150">
        <f>$E$4*F$3*2/3*10+(10-$D$4+F$3+2*F$3)*$E$4</f>
        <v>96.666666666666671</v>
      </c>
      <c r="G14" s="151">
        <f>$E$4*G$3*2/3*10+(10-$D$4+G$3+2*G$3)*$E$4</f>
        <v>193.33333333333334</v>
      </c>
      <c r="H14" s="151">
        <f>$E$4*H$3*2/3*10+(10-$D$4+H$3+2*H$3)*$E$4</f>
        <v>290</v>
      </c>
      <c r="I14" s="152">
        <f>$E$4*I$3*2/3*10+(10-$D$4+I$3+2*I$3)*$E$4</f>
        <v>386.66666666666669</v>
      </c>
      <c r="L14" s="113"/>
    </row>
    <row r="15" spans="2:27" x14ac:dyDescent="0.25">
      <c r="B15" s="153">
        <f>$E5*2/3*10</f>
        <v>53.333333333333329</v>
      </c>
      <c r="C15" s="153">
        <f>$E5*2/3*10-(10-$D5)*$E5</f>
        <v>45.333333333333329</v>
      </c>
      <c r="D15" s="126">
        <v>9</v>
      </c>
      <c r="E15" s="127">
        <v>8</v>
      </c>
      <c r="F15" s="154">
        <f>$E15*F$3*2/3*10+(10-$D$5+F$3+2*F$3)*$E$5</f>
        <v>85.333333333333329</v>
      </c>
      <c r="G15" s="155">
        <f>$E15*G$3*2/3*10+(10-$D$5+G$3+2*G$3)*$E$5</f>
        <v>162.66666666666666</v>
      </c>
      <c r="H15" s="155">
        <f>$E15*H$3*2/3*10+(10-$D$5+H$3+2*H$3)*$E$5</f>
        <v>240</v>
      </c>
      <c r="I15" s="156">
        <f>$E15*I$3*2/3*10+(10-$D$5+I$3+2*I$3)*$E$5</f>
        <v>317.33333333333331</v>
      </c>
    </row>
    <row r="16" spans="2:27" x14ac:dyDescent="0.25">
      <c r="B16" s="132" t="s">
        <v>6</v>
      </c>
      <c r="C16" s="153">
        <f>$E16*2/3*10</f>
        <v>66.666666666666671</v>
      </c>
      <c r="D16" s="126" t="s">
        <v>114</v>
      </c>
      <c r="E16" s="127">
        <v>10</v>
      </c>
      <c r="F16" s="157">
        <f>$E$6*2/3*F$3*10</f>
        <v>66.666666666666671</v>
      </c>
      <c r="G16" s="158">
        <f>$E$6*2/3*G$3*10</f>
        <v>133.33333333333334</v>
      </c>
      <c r="H16" s="158">
        <f>$E$6*2/3*H$3*10</f>
        <v>200</v>
      </c>
      <c r="I16" s="159">
        <f>$E$6*2/3*I$3*10</f>
        <v>266.66666666666669</v>
      </c>
    </row>
    <row r="17" spans="2:18" x14ac:dyDescent="0.25">
      <c r="B17" s="153">
        <f>$E7*2/3*10</f>
        <v>40</v>
      </c>
      <c r="C17" s="153">
        <f>$E7*2/3*10-(10-$D7)*$E7</f>
        <v>28</v>
      </c>
      <c r="D17" s="126">
        <v>8</v>
      </c>
      <c r="E17" s="127">
        <v>6</v>
      </c>
      <c r="F17" s="160">
        <f>$E17*F$3*2/3*10+(10-$D$7+F$3+2*F$3)*$E$7</f>
        <v>70</v>
      </c>
      <c r="G17" s="161">
        <f>$E17*G$3*2/3*10+(10-$D$7+G$3+2*G$3)*$E$7</f>
        <v>128</v>
      </c>
      <c r="H17" s="161">
        <f>$E17*H$3*2/3*10+(10-$D$7+H$3+2*H$3)*$E$7</f>
        <v>186</v>
      </c>
      <c r="I17" s="162">
        <f>$E17*I$3*2/3*10+(10-$D$7+I$3+2*I$3)*$E$7</f>
        <v>244</v>
      </c>
    </row>
    <row r="18" spans="2:18" x14ac:dyDescent="0.25">
      <c r="B18" s="153">
        <f>$E8*2/3*10-(10-$D8-2)*$E8</f>
        <v>22.666666666666664</v>
      </c>
      <c r="C18" s="153">
        <f>$E8*2/3*10-(10-$D8)*$E8</f>
        <v>14.666666666666664</v>
      </c>
      <c r="D18" s="126">
        <v>7</v>
      </c>
      <c r="E18" s="127">
        <v>4</v>
      </c>
      <c r="F18" s="163">
        <f>$E$8*F$3*2/3*10+(10-$D$8+F$3+2*F$3)*$E$8</f>
        <v>50.666666666666664</v>
      </c>
      <c r="G18" s="164">
        <f>$E$8*G$3*2/3*10+(10-$D$8+G$3+2*G$3)*$E$8</f>
        <v>89.333333333333329</v>
      </c>
      <c r="H18" s="164">
        <f>$E$8*H$3*2/3*10+(10-$D$8+H$3+2*H$3)*$E$8</f>
        <v>128</v>
      </c>
      <c r="I18" s="165">
        <f>$E$8*I$3*2/3*10+(10-$D$8+I$3+2*I$3)*$E$8</f>
        <v>166.66666666666666</v>
      </c>
    </row>
    <row r="19" spans="2:18" ht="15.75" thickBot="1" x14ac:dyDescent="0.3">
      <c r="B19" s="166">
        <f>$E9*2/3*10-(10-$D9-2)*$E9</f>
        <v>9.3333333333333321</v>
      </c>
      <c r="C19" s="166">
        <f>$E9*2/3*10-(10-$D9)*$E9</f>
        <v>5.3333333333333321</v>
      </c>
      <c r="D19" s="142">
        <v>6</v>
      </c>
      <c r="E19" s="143">
        <v>2</v>
      </c>
      <c r="F19" s="167">
        <f>$E$9*F$3*2/3*10+(10-$D$9+F$3+2*F$3)*$E$9</f>
        <v>27.333333333333332</v>
      </c>
      <c r="G19" s="168">
        <f>$E$9*G$3*2/3*10+(10-$D$9+G$3+2*G$3)*$E$9</f>
        <v>46.666666666666664</v>
      </c>
      <c r="H19" s="168">
        <f>$E$9*H$3*2/3*10+(10-$D$9+H$3+2*H$3)*$E$9</f>
        <v>66</v>
      </c>
      <c r="I19" s="169">
        <f>$E$9*I$3*2/3*10+(10-$D$9+I$3+2*I$3)*$E$9</f>
        <v>85.333333333333329</v>
      </c>
    </row>
    <row r="21" spans="2:18" x14ac:dyDescent="0.25">
      <c r="C21" s="117" t="s">
        <v>120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2:18" ht="15.75" thickBot="1" x14ac:dyDescent="0.3"/>
    <row r="23" spans="2:18" ht="16.5" thickTop="1" thickBot="1" x14ac:dyDescent="0.3">
      <c r="B23" s="484" t="s">
        <v>121</v>
      </c>
      <c r="C23" s="485"/>
      <c r="D23" s="485"/>
      <c r="E23" s="485"/>
      <c r="F23" s="485"/>
      <c r="G23" s="485"/>
      <c r="H23" s="485"/>
      <c r="I23" s="486"/>
      <c r="K23" s="484" t="s">
        <v>122</v>
      </c>
      <c r="L23" s="485"/>
      <c r="M23" s="485"/>
      <c r="N23" s="485"/>
      <c r="O23" s="485"/>
      <c r="P23" s="485"/>
      <c r="Q23" s="485"/>
      <c r="R23" s="486"/>
    </row>
    <row r="24" spans="2:18" ht="16.5" thickTop="1" thickBot="1" x14ac:dyDescent="0.3">
      <c r="B24" s="481" t="s">
        <v>123</v>
      </c>
      <c r="C24" s="481"/>
      <c r="D24" s="481"/>
      <c r="E24" s="481"/>
      <c r="F24" s="481" t="s">
        <v>124</v>
      </c>
      <c r="G24" s="481"/>
      <c r="H24" s="481"/>
      <c r="I24" s="481"/>
      <c r="K24" s="481" t="s">
        <v>125</v>
      </c>
      <c r="L24" s="481"/>
      <c r="M24" s="481"/>
      <c r="N24" s="481"/>
      <c r="O24" s="481" t="s">
        <v>126</v>
      </c>
      <c r="P24" s="481"/>
      <c r="Q24" s="481"/>
      <c r="R24" s="481"/>
    </row>
    <row r="25" spans="2:18" ht="15.75" thickBot="1" x14ac:dyDescent="0.3">
      <c r="B25" s="482" t="s">
        <v>127</v>
      </c>
      <c r="C25" s="478" t="s">
        <v>128</v>
      </c>
      <c r="D25" s="479"/>
      <c r="G25" s="478" t="s">
        <v>129</v>
      </c>
      <c r="H25" s="479"/>
      <c r="I25" s="170"/>
      <c r="K25" s="482" t="s">
        <v>127</v>
      </c>
      <c r="L25" s="478" t="s">
        <v>128</v>
      </c>
      <c r="M25" s="479"/>
      <c r="P25" s="478" t="s">
        <v>129</v>
      </c>
      <c r="Q25" s="479"/>
      <c r="R25" s="170"/>
    </row>
    <row r="26" spans="2:18" ht="30.75" thickBot="1" x14ac:dyDescent="0.3">
      <c r="B26" s="482"/>
      <c r="C26" s="171" t="s">
        <v>130</v>
      </c>
      <c r="D26" s="172" t="s">
        <v>131</v>
      </c>
      <c r="E26" s="173" t="s">
        <v>132</v>
      </c>
      <c r="G26" s="171" t="s">
        <v>130</v>
      </c>
      <c r="H26" s="172" t="s">
        <v>131</v>
      </c>
      <c r="I26" s="173" t="s">
        <v>132</v>
      </c>
      <c r="K26" s="482"/>
      <c r="L26" s="171" t="s">
        <v>130</v>
      </c>
      <c r="M26" s="172" t="s">
        <v>131</v>
      </c>
      <c r="N26" s="173" t="s">
        <v>132</v>
      </c>
      <c r="P26" s="171" t="s">
        <v>130</v>
      </c>
      <c r="Q26" s="172" t="s">
        <v>131</v>
      </c>
      <c r="R26" s="173" t="s">
        <v>132</v>
      </c>
    </row>
    <row r="27" spans="2:18" x14ac:dyDescent="0.25">
      <c r="B27" s="482"/>
      <c r="C27" s="174">
        <v>0</v>
      </c>
      <c r="D27" s="175">
        <f>($C$6-$C$5+($C$5+$F$5)*C27)/($C$6+$F$6)</f>
        <v>0.15333333333333332</v>
      </c>
      <c r="E27" s="176">
        <f>D27-C27</f>
        <v>0.15333333333333332</v>
      </c>
      <c r="G27" s="174">
        <v>0</v>
      </c>
      <c r="H27" s="175">
        <f>($C$16-$C$15+($C$15+$F$15)*G27)/($C$16+$F$16)</f>
        <v>0.16000000000000006</v>
      </c>
      <c r="I27" s="177">
        <f>H27-G27</f>
        <v>0.16000000000000006</v>
      </c>
      <c r="K27" s="482"/>
      <c r="L27" s="174">
        <v>0</v>
      </c>
      <c r="M27" s="178">
        <f>($C$6*0.8-$C$5+($C$5+$F$5)*L27)/(($C$6+$F$6)*0.8)</f>
        <v>6.6666666666666666E-2</v>
      </c>
      <c r="N27" s="176">
        <f>M27-L27</f>
        <v>6.6666666666666666E-2</v>
      </c>
      <c r="P27" s="174">
        <v>0</v>
      </c>
      <c r="Q27" s="178">
        <f>($C$16*0.8-$C$15+($C$15+$F$15)*P27)/(($C$16+$F$16)*0.8)</f>
        <v>7.5000000000000122E-2</v>
      </c>
      <c r="R27" s="177">
        <f>Q27-P27</f>
        <v>7.5000000000000122E-2</v>
      </c>
    </row>
    <row r="28" spans="2:18" x14ac:dyDescent="0.25">
      <c r="B28" s="482"/>
      <c r="C28" s="179">
        <v>0.05</v>
      </c>
      <c r="D28" s="175">
        <f>($C$6-$C$5+($C$5+$F$5)*C28)/($C$6+$F$6)</f>
        <v>0.20400000000000001</v>
      </c>
      <c r="E28" s="180">
        <f>D28-C28</f>
        <v>0.15400000000000003</v>
      </c>
      <c r="G28" s="179">
        <v>0.05</v>
      </c>
      <c r="H28" s="175">
        <f>($C$16-$C$15+($C$15+$F$15)*G28)/($C$16+$F$16)</f>
        <v>0.20900000000000005</v>
      </c>
      <c r="I28" s="181">
        <f>H28-G28</f>
        <v>0.15900000000000003</v>
      </c>
      <c r="K28" s="482"/>
      <c r="L28" s="179">
        <v>0.05</v>
      </c>
      <c r="M28" s="175">
        <f>($C$6*0.8-$C$5+($C$5+$F$5)*L28)/(($C$6+$F$6)*0.8)</f>
        <v>0.13</v>
      </c>
      <c r="N28" s="180">
        <f>M28-L28</f>
        <v>0.08</v>
      </c>
      <c r="P28" s="179">
        <v>0.05</v>
      </c>
      <c r="Q28" s="175">
        <f>($C$16*0.8-$C$15+($C$15+$F$15)*P28)/(($C$16+$F$16)*0.8)</f>
        <v>0.13625000000000012</v>
      </c>
      <c r="R28" s="181">
        <f>Q28-P28</f>
        <v>8.6250000000000118E-2</v>
      </c>
    </row>
    <row r="29" spans="2:18" ht="15.75" thickBot="1" x14ac:dyDescent="0.3">
      <c r="B29" s="482"/>
      <c r="C29" s="182">
        <v>0.1</v>
      </c>
      <c r="D29" s="183">
        <f>($C$6-$C$5+($C$5+$F$5)*C29)/($C$6+$F$6)</f>
        <v>0.25466666666666671</v>
      </c>
      <c r="E29" s="180">
        <f>D29-C29</f>
        <v>0.1546666666666667</v>
      </c>
      <c r="G29" s="182">
        <v>0.1</v>
      </c>
      <c r="H29" s="183">
        <f>($C$16-$C$15+($C$15+$F$15)*G29)/($C$16+$F$16)</f>
        <v>0.25800000000000001</v>
      </c>
      <c r="I29" s="181">
        <f>H29-G29</f>
        <v>0.158</v>
      </c>
      <c r="K29" s="482"/>
      <c r="L29" s="182">
        <v>0.1</v>
      </c>
      <c r="M29" s="183">
        <f>($C$6*0.8-$C$5+($C$5+$F$5)*L29)/(($C$6+$F$6)*0.8)</f>
        <v>0.19333333333333336</v>
      </c>
      <c r="N29" s="180">
        <f>M29-L29</f>
        <v>9.3333333333333351E-2</v>
      </c>
      <c r="P29" s="182">
        <v>0.1</v>
      </c>
      <c r="Q29" s="183">
        <f>($C$16*0.8-$C$15+($C$15+$F$15)*P29)/(($C$16+$F$16)*0.8)</f>
        <v>0.19750000000000009</v>
      </c>
      <c r="R29" s="181">
        <f>Q29-P29</f>
        <v>9.7500000000000087E-2</v>
      </c>
    </row>
    <row r="31" spans="2:18" ht="15.75" thickBot="1" x14ac:dyDescent="0.3">
      <c r="B31" s="481" t="s">
        <v>133</v>
      </c>
      <c r="C31" s="481"/>
      <c r="D31" s="481"/>
      <c r="E31" s="481"/>
      <c r="F31" s="481" t="s">
        <v>134</v>
      </c>
      <c r="G31" s="481"/>
      <c r="H31" s="481"/>
      <c r="I31" s="481"/>
      <c r="K31" s="481" t="s">
        <v>135</v>
      </c>
      <c r="L31" s="481"/>
      <c r="M31" s="481"/>
      <c r="N31" s="481"/>
      <c r="O31" s="481" t="s">
        <v>136</v>
      </c>
      <c r="P31" s="481"/>
      <c r="Q31" s="481"/>
      <c r="R31" s="481"/>
    </row>
    <row r="32" spans="2:18" ht="15.75" thickBot="1" x14ac:dyDescent="0.3">
      <c r="B32" s="480" t="s">
        <v>137</v>
      </c>
      <c r="C32" s="478" t="s">
        <v>128</v>
      </c>
      <c r="D32" s="479"/>
      <c r="G32" s="478" t="s">
        <v>129</v>
      </c>
      <c r="H32" s="479"/>
      <c r="I32" s="170"/>
      <c r="K32" s="480" t="s">
        <v>137</v>
      </c>
      <c r="L32" s="478" t="s">
        <v>128</v>
      </c>
      <c r="M32" s="479"/>
      <c r="P32" s="478" t="s">
        <v>129</v>
      </c>
      <c r="Q32" s="479"/>
      <c r="R32" s="170"/>
    </row>
    <row r="33" spans="2:18" ht="30.75" thickBot="1" x14ac:dyDescent="0.3">
      <c r="B33" s="480"/>
      <c r="C33" s="171" t="s">
        <v>130</v>
      </c>
      <c r="D33" s="172" t="s">
        <v>131</v>
      </c>
      <c r="E33" s="184" t="s">
        <v>132</v>
      </c>
      <c r="G33" s="171" t="s">
        <v>130</v>
      </c>
      <c r="H33" s="172" t="s">
        <v>131</v>
      </c>
      <c r="I33" s="184" t="s">
        <v>132</v>
      </c>
      <c r="K33" s="480"/>
      <c r="L33" s="171" t="s">
        <v>130</v>
      </c>
      <c r="M33" s="172" t="s">
        <v>131</v>
      </c>
      <c r="N33" s="184" t="s">
        <v>132</v>
      </c>
      <c r="P33" s="171" t="s">
        <v>130</v>
      </c>
      <c r="Q33" s="172" t="s">
        <v>131</v>
      </c>
      <c r="R33" s="184" t="s">
        <v>132</v>
      </c>
    </row>
    <row r="34" spans="2:18" x14ac:dyDescent="0.25">
      <c r="B34" s="480"/>
      <c r="C34" s="174">
        <v>0</v>
      </c>
      <c r="D34" s="175">
        <f>($C$6-$B$5+($B$5+$F$5)*C34)/($C$6+$F$6)</f>
        <v>0.1</v>
      </c>
      <c r="E34" s="176">
        <f>D34-C34</f>
        <v>0.1</v>
      </c>
      <c r="G34" s="174">
        <v>0</v>
      </c>
      <c r="H34" s="175">
        <f>($C$16-$B$15+($B$15+$F$15)*G34)/($C$16+$F$16)</f>
        <v>0.10000000000000006</v>
      </c>
      <c r="I34" s="177">
        <f>H34-G34</f>
        <v>0.10000000000000006</v>
      </c>
      <c r="K34" s="480"/>
      <c r="L34" s="174">
        <v>0</v>
      </c>
      <c r="M34" s="178">
        <f>($C$6*0.8-$B$5+($B$5+$F$5)*L34)/(($C$6+$F$6)*0.8)</f>
        <v>0</v>
      </c>
      <c r="N34" s="176">
        <f>M34-L34</f>
        <v>0</v>
      </c>
      <c r="P34" s="174">
        <v>0</v>
      </c>
      <c r="Q34" s="178">
        <f>($C$16*0.8-$B$15+($B$15+$F$15)*P34)/(($C$16+$F$16)*0.8)</f>
        <v>1.3322676295501876E-16</v>
      </c>
      <c r="R34" s="177">
        <f>Q34-P34</f>
        <v>1.3322676295501876E-16</v>
      </c>
    </row>
    <row r="35" spans="2:18" x14ac:dyDescent="0.25">
      <c r="B35" s="480"/>
      <c r="C35" s="179">
        <v>0.05</v>
      </c>
      <c r="D35" s="175">
        <f>($C$6-$B$5+($B$5+$F$5)*C35)/($C$6+$F$6)</f>
        <v>0.15333333333333332</v>
      </c>
      <c r="E35" s="180">
        <f>D35-C35</f>
        <v>0.10333333333333332</v>
      </c>
      <c r="G35" s="179">
        <v>0.05</v>
      </c>
      <c r="H35" s="175">
        <f>($C$16-$B$15+($B$15+$F$15)*G35)/($C$16+$F$16)</f>
        <v>0.15200000000000005</v>
      </c>
      <c r="I35" s="181">
        <f>H35-G35</f>
        <v>0.10200000000000005</v>
      </c>
      <c r="K35" s="480"/>
      <c r="L35" s="179">
        <v>0.05</v>
      </c>
      <c r="M35" s="175">
        <f>($C$6*0.8-$B$5+($B$5+$F$5)*L35)/(($C$6+$F$6)*0.8)</f>
        <v>6.6666666666666666E-2</v>
      </c>
      <c r="N35" s="180">
        <f>M35-L35</f>
        <v>1.6666666666666663E-2</v>
      </c>
      <c r="P35" s="179">
        <v>0.05</v>
      </c>
      <c r="Q35" s="175">
        <f>($C$16*0.8-$B$15+($B$15+$F$15)*P35)/(($C$16+$F$16)*0.8)</f>
        <v>6.5000000000000127E-2</v>
      </c>
      <c r="R35" s="181">
        <f>Q35-P35</f>
        <v>1.5000000000000124E-2</v>
      </c>
    </row>
    <row r="36" spans="2:18" ht="15.75" thickBot="1" x14ac:dyDescent="0.3">
      <c r="B36" s="480"/>
      <c r="C36" s="182">
        <v>0.1</v>
      </c>
      <c r="D36" s="183">
        <f>($C$6-$B$5+($B$5+$F$5)*C36)/($C$6+$F$6)</f>
        <v>0.20666666666666667</v>
      </c>
      <c r="E36" s="180">
        <f>D36-C36</f>
        <v>0.10666666666666666</v>
      </c>
      <c r="G36" s="182">
        <v>0.1</v>
      </c>
      <c r="H36" s="183">
        <f>($C$16-$B$15+($B$15+$F$15)*G36)/($C$16+$F$16)</f>
        <v>0.20400000000000007</v>
      </c>
      <c r="I36" s="181">
        <f>H36-G36</f>
        <v>0.10400000000000006</v>
      </c>
      <c r="K36" s="480"/>
      <c r="L36" s="182">
        <v>0.1</v>
      </c>
      <c r="M36" s="183">
        <f>($C$6*0.8-$B$5+($B$5+$F$5)*L36)/(($C$6+$F$6)*0.8)</f>
        <v>0.13333333333333333</v>
      </c>
      <c r="N36" s="180">
        <f>M36-L36</f>
        <v>3.3333333333333326E-2</v>
      </c>
      <c r="P36" s="182">
        <v>0.1</v>
      </c>
      <c r="Q36" s="183">
        <f>($C$16*0.8-$B$15+($B$15+$F$15)*P36)/(($C$16+$F$16)*0.8)</f>
        <v>0.13000000000000012</v>
      </c>
      <c r="R36" s="181">
        <f>Q36-P36</f>
        <v>3.000000000000011E-2</v>
      </c>
    </row>
    <row r="39" spans="2:18" x14ac:dyDescent="0.25">
      <c r="B39" s="185" t="s">
        <v>138</v>
      </c>
    </row>
    <row r="40" spans="2:18" x14ac:dyDescent="0.25">
      <c r="B40" s="185" t="s">
        <v>139</v>
      </c>
    </row>
    <row r="41" spans="2:18" x14ac:dyDescent="0.25">
      <c r="B41" s="185" t="s">
        <v>140</v>
      </c>
    </row>
    <row r="42" spans="2:18" x14ac:dyDescent="0.25">
      <c r="B42" s="185" t="s">
        <v>141</v>
      </c>
    </row>
    <row r="43" spans="2:18" x14ac:dyDescent="0.25">
      <c r="B43" s="185" t="s">
        <v>139</v>
      </c>
    </row>
    <row r="44" spans="2:18" x14ac:dyDescent="0.25">
      <c r="B44" s="185" t="s">
        <v>142</v>
      </c>
    </row>
    <row r="45" spans="2:18" x14ac:dyDescent="0.25">
      <c r="B45" s="185" t="s">
        <v>143</v>
      </c>
    </row>
    <row r="46" spans="2:18" x14ac:dyDescent="0.25">
      <c r="B46" s="185" t="s">
        <v>144</v>
      </c>
    </row>
    <row r="47" spans="2:18" x14ac:dyDescent="0.25">
      <c r="B47" s="185" t="s">
        <v>145</v>
      </c>
    </row>
    <row r="48" spans="2:18" x14ac:dyDescent="0.25">
      <c r="B48" s="185" t="s">
        <v>146</v>
      </c>
    </row>
    <row r="49" spans="2:2" x14ac:dyDescent="0.25">
      <c r="B49" s="185" t="s">
        <v>147</v>
      </c>
    </row>
    <row r="50" spans="2:2" x14ac:dyDescent="0.25">
      <c r="B50" s="185" t="s">
        <v>148</v>
      </c>
    </row>
    <row r="51" spans="2:2" x14ac:dyDescent="0.25">
      <c r="B51" s="185" t="s">
        <v>149</v>
      </c>
    </row>
  </sheetData>
  <mergeCells count="24">
    <mergeCell ref="F2:I2"/>
    <mergeCell ref="F12:I12"/>
    <mergeCell ref="B23:I23"/>
    <mergeCell ref="K23:R23"/>
    <mergeCell ref="B24:E24"/>
    <mergeCell ref="F24:I24"/>
    <mergeCell ref="K24:N24"/>
    <mergeCell ref="O24:R24"/>
    <mergeCell ref="P25:Q25"/>
    <mergeCell ref="B31:E31"/>
    <mergeCell ref="F31:I31"/>
    <mergeCell ref="K31:N31"/>
    <mergeCell ref="O31:R31"/>
    <mergeCell ref="B25:B29"/>
    <mergeCell ref="C25:D25"/>
    <mergeCell ref="G25:H25"/>
    <mergeCell ref="K25:K29"/>
    <mergeCell ref="L25:M25"/>
    <mergeCell ref="P32:Q32"/>
    <mergeCell ref="B32:B36"/>
    <mergeCell ref="C32:D32"/>
    <mergeCell ref="G32:H32"/>
    <mergeCell ref="K32:K36"/>
    <mergeCell ref="L32:M3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47"/>
  <sheetViews>
    <sheetView topLeftCell="A34" zoomScale="80" zoomScaleNormal="80" workbookViewId="0">
      <selection activeCell="B50" sqref="B50"/>
    </sheetView>
  </sheetViews>
  <sheetFormatPr defaultRowHeight="12.75" x14ac:dyDescent="0.2"/>
  <cols>
    <col min="1" max="1" width="3.85546875" customWidth="1"/>
    <col min="2" max="2" width="23.42578125" customWidth="1"/>
    <col min="3" max="4" width="13.85546875" customWidth="1"/>
    <col min="5" max="5" width="15.28515625" customWidth="1"/>
    <col min="6" max="7" width="12.140625" customWidth="1"/>
    <col min="8" max="8" width="18.42578125" customWidth="1"/>
    <col min="9" max="9" width="19.7109375" customWidth="1"/>
    <col min="10" max="10" width="12" customWidth="1"/>
    <col min="11" max="11" width="7.7109375" customWidth="1"/>
    <col min="12" max="12" width="6.85546875" customWidth="1"/>
    <col min="13" max="13" width="17.42578125" customWidth="1"/>
    <col min="14" max="14" width="12.5703125" customWidth="1"/>
  </cols>
  <sheetData>
    <row r="2" spans="2:14" ht="29.25" customHeight="1" thickBot="1" x14ac:dyDescent="0.25">
      <c r="B2" s="487" t="s">
        <v>203</v>
      </c>
      <c r="C2" s="487"/>
      <c r="D2" s="487"/>
      <c r="E2" s="487"/>
      <c r="F2" s="487"/>
      <c r="G2" s="487"/>
      <c r="H2" s="487"/>
      <c r="I2" s="487"/>
      <c r="J2" s="487"/>
      <c r="K2" s="1"/>
      <c r="M2" s="53" t="s">
        <v>175</v>
      </c>
    </row>
    <row r="3" spans="2:14" ht="68.25" customHeight="1" thickBot="1" x14ac:dyDescent="0.25">
      <c r="B3" s="89" t="s">
        <v>0</v>
      </c>
      <c r="C3" s="90" t="s">
        <v>9</v>
      </c>
      <c r="D3" s="290" t="s">
        <v>1</v>
      </c>
      <c r="E3" s="290" t="s">
        <v>2</v>
      </c>
      <c r="F3" s="91" t="s">
        <v>3</v>
      </c>
      <c r="G3" s="91" t="s">
        <v>4</v>
      </c>
      <c r="H3" s="90" t="s">
        <v>7</v>
      </c>
      <c r="I3" s="92" t="s">
        <v>8</v>
      </c>
      <c r="J3" s="93" t="s">
        <v>90</v>
      </c>
      <c r="K3" s="84"/>
      <c r="M3" s="94" t="s">
        <v>153</v>
      </c>
      <c r="N3" s="93" t="s">
        <v>90</v>
      </c>
    </row>
    <row r="4" spans="2:14" ht="13.5" thickTop="1" x14ac:dyDescent="0.2">
      <c r="B4" s="238" t="s">
        <v>58</v>
      </c>
      <c r="C4" s="34" t="s">
        <v>176</v>
      </c>
      <c r="D4" s="36" t="s">
        <v>177</v>
      </c>
      <c r="E4" s="36" t="s">
        <v>177</v>
      </c>
      <c r="F4" s="34" t="s">
        <v>6</v>
      </c>
      <c r="G4" s="34" t="s">
        <v>6</v>
      </c>
      <c r="H4" s="46">
        <f>COMBIN(2,1)*COMBIN(3,1)</f>
        <v>6</v>
      </c>
      <c r="I4" s="59">
        <f>COMBIN(5,5)^2*H4</f>
        <v>6</v>
      </c>
      <c r="J4" s="291">
        <f>SUM(I4:I8)</f>
        <v>450</v>
      </c>
      <c r="K4" s="21"/>
      <c r="M4" s="292">
        <f>I4</f>
        <v>6</v>
      </c>
      <c r="N4" s="293">
        <f>SUM(M4:M8)</f>
        <v>714</v>
      </c>
    </row>
    <row r="5" spans="2:14" x14ac:dyDescent="0.2">
      <c r="B5" s="235"/>
      <c r="C5" s="14" t="s">
        <v>178</v>
      </c>
      <c r="D5" s="294" t="s">
        <v>177</v>
      </c>
      <c r="E5" s="15" t="s">
        <v>34</v>
      </c>
      <c r="F5" s="16" t="s">
        <v>16</v>
      </c>
      <c r="G5" s="14" t="s">
        <v>6</v>
      </c>
      <c r="H5" s="44">
        <f>COMBIN(4,1)*COMBIN(3,1)*COMBIN(2,1)</f>
        <v>24</v>
      </c>
      <c r="I5" s="57">
        <f>1*4*1*H5</f>
        <v>96</v>
      </c>
      <c r="J5" s="218"/>
      <c r="K5" s="21"/>
      <c r="M5" s="241">
        <f>I5*2</f>
        <v>192</v>
      </c>
      <c r="N5" s="218"/>
    </row>
    <row r="6" spans="2:14" x14ac:dyDescent="0.2">
      <c r="B6" s="235"/>
      <c r="C6" s="14" t="s">
        <v>179</v>
      </c>
      <c r="D6" s="294" t="s">
        <v>177</v>
      </c>
      <c r="E6" s="15" t="s">
        <v>35</v>
      </c>
      <c r="F6" s="15" t="s">
        <v>36</v>
      </c>
      <c r="G6" s="14" t="s">
        <v>6</v>
      </c>
      <c r="H6" s="44">
        <f>COMBIN(4,1)*COMBIN(3,1)*COMBIN(2,1)*COMBIN(1,1)</f>
        <v>24</v>
      </c>
      <c r="I6" s="57">
        <f>1*5*2*H6</f>
        <v>240</v>
      </c>
      <c r="J6" s="218"/>
      <c r="K6" s="21"/>
      <c r="M6" s="204">
        <f>I6</f>
        <v>240</v>
      </c>
      <c r="N6" s="218"/>
    </row>
    <row r="7" spans="2:14" x14ac:dyDescent="0.2">
      <c r="B7" s="235"/>
      <c r="C7" s="14" t="s">
        <v>180</v>
      </c>
      <c r="D7" s="294" t="s">
        <v>177</v>
      </c>
      <c r="E7" s="15" t="s">
        <v>35</v>
      </c>
      <c r="F7" s="16" t="s">
        <v>16</v>
      </c>
      <c r="G7" s="16" t="s">
        <v>16</v>
      </c>
      <c r="H7" s="44">
        <f>COMBIN(4,1)*COMBIN(3,1)*COMBIN(2,2)</f>
        <v>12</v>
      </c>
      <c r="I7" s="57">
        <f>1*5*1*1*H7</f>
        <v>60</v>
      </c>
      <c r="J7" s="218"/>
      <c r="K7" s="21"/>
      <c r="M7" s="241">
        <f>I7*3</f>
        <v>180</v>
      </c>
      <c r="N7" s="218"/>
    </row>
    <row r="8" spans="2:14" ht="13.5" thickBot="1" x14ac:dyDescent="0.25">
      <c r="B8" s="237"/>
      <c r="C8" s="37" t="s">
        <v>181</v>
      </c>
      <c r="D8" s="295" t="s">
        <v>177</v>
      </c>
      <c r="E8" s="228" t="s">
        <v>36</v>
      </c>
      <c r="F8" s="228" t="s">
        <v>36</v>
      </c>
      <c r="G8" s="229" t="s">
        <v>16</v>
      </c>
      <c r="H8" s="45"/>
      <c r="I8" s="58">
        <f>(COMBIN(4,1)*COMBIN(1,1))*(COMBIN(3,1)*COMBIN(1,1))*(COMBIN(2,1)*COMBIN(2,2)+COMBIN(2,2)*COMBIN(2,1))</f>
        <v>48</v>
      </c>
      <c r="J8" s="296"/>
      <c r="K8" s="21">
        <f>4*3*1*1*2*2*1</f>
        <v>48</v>
      </c>
      <c r="M8" s="241">
        <f>I8*2</f>
        <v>96</v>
      </c>
      <c r="N8" s="218"/>
    </row>
    <row r="9" spans="2:14" ht="13.5" thickTop="1" x14ac:dyDescent="0.2">
      <c r="B9" s="297" t="s">
        <v>59</v>
      </c>
      <c r="C9" s="34" t="s">
        <v>26</v>
      </c>
      <c r="D9" s="35" t="s">
        <v>34</v>
      </c>
      <c r="E9" s="35" t="s">
        <v>34</v>
      </c>
      <c r="F9" s="35" t="s">
        <v>36</v>
      </c>
      <c r="G9" s="233" t="s">
        <v>6</v>
      </c>
      <c r="H9" s="234"/>
      <c r="I9" s="59">
        <f>(COMBIN(4,1)*COMBIN(2,1))*COMBIN(3,1)*(COMBIN(2,1)*COMBIN(4,2)+COMBIN(2,2)*COMBIN(4,1)*COMBIN(1,1))</f>
        <v>384</v>
      </c>
      <c r="J9" s="291">
        <f>SUM(I9:I13)</f>
        <v>2768</v>
      </c>
      <c r="K9" s="21">
        <f>4*3*1*4*4*2</f>
        <v>384</v>
      </c>
      <c r="M9" s="292">
        <f>I9</f>
        <v>384</v>
      </c>
      <c r="N9" s="298">
        <f>SUM(M9:M13)</f>
        <v>3920</v>
      </c>
    </row>
    <row r="10" spans="2:14" x14ac:dyDescent="0.2">
      <c r="B10" s="235"/>
      <c r="C10" s="14" t="s">
        <v>27</v>
      </c>
      <c r="D10" s="35" t="s">
        <v>34</v>
      </c>
      <c r="E10" s="35" t="s">
        <v>34</v>
      </c>
      <c r="F10" s="16" t="s">
        <v>16</v>
      </c>
      <c r="G10" s="16" t="s">
        <v>16</v>
      </c>
      <c r="H10" s="44"/>
      <c r="I10" s="59">
        <f>(COMBIN(4,2)*COMBIN(1,1))*(COMBIN(2,1)*COMBIN(4,2)+COMBIN(2,2)*COMBIN(4,1)*COMBIN(1,1))</f>
        <v>96</v>
      </c>
      <c r="J10" s="218"/>
      <c r="K10" s="21">
        <f>6*1*4*4*1*1</f>
        <v>96</v>
      </c>
      <c r="M10" s="241">
        <f>I10*3</f>
        <v>288</v>
      </c>
      <c r="N10" s="291"/>
    </row>
    <row r="11" spans="2:14" x14ac:dyDescent="0.2">
      <c r="B11" s="235"/>
      <c r="C11" s="14" t="s">
        <v>28</v>
      </c>
      <c r="D11" s="35" t="s">
        <v>34</v>
      </c>
      <c r="E11" s="15" t="s">
        <v>35</v>
      </c>
      <c r="F11" s="15" t="s">
        <v>35</v>
      </c>
      <c r="G11" s="14" t="s">
        <v>6</v>
      </c>
      <c r="H11" s="44"/>
      <c r="I11" s="59">
        <f>(COMBIN(4,1)*COMBIN(4,1))*COMBIN(3,1)*(COMBIN(2,1)*COMBIN(5,2)+COMBIN(2,2)*COMBIN(5,1)*COMBIN(1,1))</f>
        <v>1200</v>
      </c>
      <c r="J11" s="218"/>
      <c r="K11" s="21">
        <f>4*3*1*4*5*5</f>
        <v>1200</v>
      </c>
      <c r="M11" s="204">
        <f>I11</f>
        <v>1200</v>
      </c>
      <c r="N11" s="291"/>
    </row>
    <row r="12" spans="2:14" x14ac:dyDescent="0.2">
      <c r="B12" s="235"/>
      <c r="C12" s="14" t="s">
        <v>29</v>
      </c>
      <c r="D12" s="35" t="s">
        <v>34</v>
      </c>
      <c r="E12" s="15" t="s">
        <v>35</v>
      </c>
      <c r="F12" s="15" t="s">
        <v>36</v>
      </c>
      <c r="G12" s="16" t="s">
        <v>16</v>
      </c>
      <c r="H12" s="44">
        <f>COMBIN(4,1)*COMBIN(3,1)*COMBIN(2,1)*COMBIN(1,1)</f>
        <v>24</v>
      </c>
      <c r="I12" s="57">
        <f>4*5*2*1*H12</f>
        <v>960</v>
      </c>
      <c r="J12" s="218"/>
      <c r="K12" s="21"/>
      <c r="M12" s="241">
        <f>I12*2</f>
        <v>1920</v>
      </c>
      <c r="N12" s="291"/>
    </row>
    <row r="13" spans="2:14" ht="13.5" thickBot="1" x14ac:dyDescent="0.25">
      <c r="B13" s="237"/>
      <c r="C13" s="37" t="s">
        <v>30</v>
      </c>
      <c r="D13" s="228" t="s">
        <v>34</v>
      </c>
      <c r="E13" s="228" t="s">
        <v>36</v>
      </c>
      <c r="F13" s="228" t="s">
        <v>36</v>
      </c>
      <c r="G13" s="228" t="s">
        <v>36</v>
      </c>
      <c r="H13" s="45"/>
      <c r="I13" s="58">
        <f>(COMBIN(4,1)*COMBIN(4,1))*(COMBIN(3,1)*COMBIN(2,1)*COMBIN(2,2)+COMBIN(3,3)*COMBIN(2,1))</f>
        <v>128</v>
      </c>
      <c r="J13" s="296"/>
      <c r="K13" s="21">
        <f>4*4*2*2*2</f>
        <v>128</v>
      </c>
      <c r="M13" s="236">
        <f>I13</f>
        <v>128</v>
      </c>
      <c r="N13" s="296"/>
    </row>
    <row r="14" spans="2:14" ht="13.5" thickTop="1" x14ac:dyDescent="0.2">
      <c r="B14" s="238" t="s">
        <v>60</v>
      </c>
      <c r="C14" s="34" t="s">
        <v>31</v>
      </c>
      <c r="D14" s="35" t="s">
        <v>35</v>
      </c>
      <c r="E14" s="35" t="s">
        <v>35</v>
      </c>
      <c r="F14" s="35" t="s">
        <v>35</v>
      </c>
      <c r="G14" s="239" t="s">
        <v>16</v>
      </c>
      <c r="H14" s="46"/>
      <c r="I14" s="240">
        <f>(COMBIN(4,1)*COMBIN(1,1))*(COMBIN(3,1)*COMBIN(5,3)*COMBIN(2,1)+COMBIN(3,1)*COMBIN(5,1)*COMBIN(2,2)*COMBIN(4,1)+COMBIN(3,3)*COMBIN(5,1))</f>
        <v>500</v>
      </c>
      <c r="J14" s="291">
        <f>SUM(I14:I15)</f>
        <v>1100</v>
      </c>
      <c r="K14" s="21">
        <f>4*1*5*5*5</f>
        <v>500</v>
      </c>
      <c r="M14" s="241">
        <f>I14*2</f>
        <v>1000</v>
      </c>
      <c r="N14" s="291">
        <f>SUM(M14:M15)</f>
        <v>1600</v>
      </c>
    </row>
    <row r="15" spans="2:14" ht="13.5" thickBot="1" x14ac:dyDescent="0.25">
      <c r="B15" s="242"/>
      <c r="C15" s="299" t="s">
        <v>37</v>
      </c>
      <c r="D15" s="18" t="s">
        <v>35</v>
      </c>
      <c r="E15" s="18" t="s">
        <v>35</v>
      </c>
      <c r="F15" s="18" t="s">
        <v>36</v>
      </c>
      <c r="G15" s="18" t="s">
        <v>36</v>
      </c>
      <c r="H15" s="244"/>
      <c r="I15" s="245">
        <f>COMBIN(4,1)*COMBIN(3,1)*(COMBIN(5,2)*(COMBIN(2,1)*COMBIN(2,2)+COMBIN(2,2)*COMBIN(2,1))+COMBIN(2,2)*COMBIN(5,1)*COMBIN(2,2))+COMBIN(4,2)*COMBIN(5,1)*COMBIN(1,1)*COMBIN(2,2)*COMBIN(2,1)</f>
        <v>600</v>
      </c>
      <c r="J15" s="300"/>
      <c r="K15" s="21">
        <f>6*1*5*5*2*2</f>
        <v>600</v>
      </c>
      <c r="M15" s="247">
        <f>I15</f>
        <v>600</v>
      </c>
      <c r="N15" s="300"/>
    </row>
    <row r="16" spans="2:14" x14ac:dyDescent="0.2">
      <c r="B16" s="2"/>
      <c r="C16" s="5"/>
      <c r="D16" s="2"/>
      <c r="E16" s="2"/>
      <c r="F16" s="2"/>
      <c r="G16" s="2"/>
      <c r="H16" s="2"/>
      <c r="I16" s="301">
        <f>SUM(I4:I15)</f>
        <v>4318</v>
      </c>
      <c r="J16" s="2">
        <f>SUM(J4:J15)</f>
        <v>4318</v>
      </c>
      <c r="M16" s="302">
        <f>SUM(M4:M15)</f>
        <v>6234</v>
      </c>
      <c r="N16" s="2">
        <f>SUM(N4:N15)</f>
        <v>6234</v>
      </c>
    </row>
    <row r="17" spans="2:14" x14ac:dyDescent="0.2">
      <c r="B17" s="2"/>
      <c r="C17" s="5"/>
      <c r="H17" s="83" t="s">
        <v>182</v>
      </c>
      <c r="I17" s="303">
        <f>I16/COMBIN(20,10)*100</f>
        <v>2.3371365476628636</v>
      </c>
      <c r="J17" s="49"/>
      <c r="K17" s="49"/>
      <c r="M17" s="304">
        <f>M16/COMBIN(20,10)*100</f>
        <v>3.3741799995669965</v>
      </c>
      <c r="N17" s="47"/>
    </row>
    <row r="18" spans="2:14" x14ac:dyDescent="0.2">
      <c r="I18" s="305" t="s">
        <v>183</v>
      </c>
      <c r="M18" s="305" t="s">
        <v>183</v>
      </c>
    </row>
    <row r="19" spans="2:14" ht="15" x14ac:dyDescent="0.25">
      <c r="I19" s="306">
        <f>COMBIN(20,10)</f>
        <v>184756</v>
      </c>
      <c r="M19" s="306">
        <f>COMBIN(20,10)</f>
        <v>184756</v>
      </c>
    </row>
    <row r="22" spans="2:14" ht="30.75" customHeight="1" thickBot="1" x14ac:dyDescent="0.25">
      <c r="B22" s="487" t="s">
        <v>202</v>
      </c>
      <c r="C22" s="487"/>
      <c r="D22" s="487"/>
      <c r="E22" s="487"/>
      <c r="F22" s="487"/>
      <c r="G22" s="487"/>
      <c r="H22" s="487"/>
      <c r="I22" s="487"/>
      <c r="J22" s="487"/>
      <c r="K22" s="1"/>
      <c r="M22" s="53" t="s">
        <v>184</v>
      </c>
    </row>
    <row r="23" spans="2:14" ht="70.5" customHeight="1" thickBot="1" x14ac:dyDescent="0.25">
      <c r="B23" s="89" t="s">
        <v>0</v>
      </c>
      <c r="C23" s="90" t="s">
        <v>9</v>
      </c>
      <c r="D23" s="290" t="s">
        <v>1</v>
      </c>
      <c r="E23" s="290" t="s">
        <v>2</v>
      </c>
      <c r="F23" s="91" t="s">
        <v>3</v>
      </c>
      <c r="G23" s="91" t="s">
        <v>4</v>
      </c>
      <c r="H23" s="90" t="s">
        <v>7</v>
      </c>
      <c r="I23" s="92" t="s">
        <v>8</v>
      </c>
      <c r="J23" s="93" t="s">
        <v>90</v>
      </c>
      <c r="K23" s="84"/>
      <c r="M23" s="94" t="s">
        <v>185</v>
      </c>
      <c r="N23" s="93" t="s">
        <v>90</v>
      </c>
    </row>
    <row r="24" spans="2:14" ht="13.5" thickTop="1" x14ac:dyDescent="0.2">
      <c r="B24" s="238" t="s">
        <v>58</v>
      </c>
      <c r="C24" s="34" t="s">
        <v>176</v>
      </c>
      <c r="D24" s="36" t="s">
        <v>177</v>
      </c>
      <c r="E24" s="36" t="s">
        <v>177</v>
      </c>
      <c r="F24" s="34" t="s">
        <v>6</v>
      </c>
      <c r="G24" s="34" t="s">
        <v>6</v>
      </c>
      <c r="H24" s="46">
        <f>COMBIN(2,1)*COMBIN(3,1)</f>
        <v>6</v>
      </c>
      <c r="I24" s="59">
        <f>COMBIN(5,5)^2*H24</f>
        <v>6</v>
      </c>
      <c r="J24" s="291">
        <f>SUM(I24:I29)</f>
        <v>1842</v>
      </c>
      <c r="K24" s="217"/>
      <c r="M24" s="292">
        <f>I24</f>
        <v>6</v>
      </c>
      <c r="N24" s="293">
        <f>SUM(M24:M29)</f>
        <v>786</v>
      </c>
    </row>
    <row r="25" spans="2:14" x14ac:dyDescent="0.2">
      <c r="B25" s="235"/>
      <c r="C25" s="14" t="s">
        <v>178</v>
      </c>
      <c r="D25" s="294" t="s">
        <v>177</v>
      </c>
      <c r="E25" s="15" t="s">
        <v>34</v>
      </c>
      <c r="F25" s="307" t="s">
        <v>186</v>
      </c>
      <c r="G25" s="14" t="s">
        <v>6</v>
      </c>
      <c r="H25" s="44">
        <f>COMBIN(4,1)*COMBIN(3,1)*COMBIN(2,1)</f>
        <v>24</v>
      </c>
      <c r="I25" s="57">
        <f>1*4*5*H25</f>
        <v>480</v>
      </c>
      <c r="J25" s="218"/>
      <c r="K25" s="217"/>
      <c r="M25" s="241">
        <f>I5</f>
        <v>96</v>
      </c>
      <c r="N25" s="218"/>
    </row>
    <row r="26" spans="2:14" x14ac:dyDescent="0.2">
      <c r="B26" s="235"/>
      <c r="C26" s="14" t="s">
        <v>179</v>
      </c>
      <c r="D26" s="294" t="s">
        <v>177</v>
      </c>
      <c r="E26" s="15" t="s">
        <v>35</v>
      </c>
      <c r="F26" s="15" t="s">
        <v>187</v>
      </c>
      <c r="G26" s="14" t="s">
        <v>6</v>
      </c>
      <c r="H26" s="44">
        <f>COMBIN(4,1)*COMBIN(3,1)*COMBIN(2,1)*COMBIN(1,1)</f>
        <v>24</v>
      </c>
      <c r="I26" s="57">
        <f>1*5*4*H26</f>
        <v>480</v>
      </c>
      <c r="J26" s="218"/>
      <c r="K26" s="217"/>
      <c r="M26" s="204">
        <f>I26</f>
        <v>480</v>
      </c>
      <c r="N26" s="218"/>
    </row>
    <row r="27" spans="2:14" x14ac:dyDescent="0.2">
      <c r="B27" s="235"/>
      <c r="C27" s="14" t="s">
        <v>180</v>
      </c>
      <c r="D27" s="294" t="s">
        <v>177</v>
      </c>
      <c r="E27" s="15" t="s">
        <v>35</v>
      </c>
      <c r="F27" s="307" t="s">
        <v>186</v>
      </c>
      <c r="G27" s="16" t="s">
        <v>16</v>
      </c>
      <c r="H27" s="44"/>
      <c r="I27" s="57">
        <f>(COMBIN(4,1)*COMBIN(1,1))*(COMBIN(3,1)*COMBIN(5,1))*(COMBIN(2,1)*COMBIN(4,1)*COMBIN(1,1)+COMBIN(2,2)*COMBIN(2,2))</f>
        <v>540</v>
      </c>
      <c r="J27" s="218"/>
      <c r="K27" s="217">
        <f>4*1*3*5*(2*4*1+1*1)</f>
        <v>540</v>
      </c>
      <c r="M27" s="241">
        <f>I7</f>
        <v>60</v>
      </c>
      <c r="N27" s="218"/>
    </row>
    <row r="28" spans="2:14" x14ac:dyDescent="0.2">
      <c r="B28" s="235"/>
      <c r="C28" s="14" t="s">
        <v>181</v>
      </c>
      <c r="D28" s="308" t="s">
        <v>177</v>
      </c>
      <c r="E28" s="15" t="s">
        <v>36</v>
      </c>
      <c r="F28" s="15" t="s">
        <v>187</v>
      </c>
      <c r="G28" s="16" t="s">
        <v>16</v>
      </c>
      <c r="H28" s="44"/>
      <c r="I28" s="57">
        <f>(COMBIN(4,1)*COMBIN(1,1))*(COMBIN(3,1)*COMBIN(1,1))*(COMBIN(2,1)*((COMBIN(2,1)*COMBIN(2,1)+COMBIN(2,2)))+COMBIN(2,2)*COMBIN(2,1))</f>
        <v>144</v>
      </c>
      <c r="J28" s="218"/>
      <c r="K28" s="217">
        <f>4*1*3*1*(2*(2*2+1)+1*2)</f>
        <v>144</v>
      </c>
      <c r="M28" s="309">
        <f>I28</f>
        <v>144</v>
      </c>
      <c r="N28" s="218"/>
    </row>
    <row r="29" spans="2:14" ht="13.5" thickBot="1" x14ac:dyDescent="0.25">
      <c r="B29" s="310"/>
      <c r="C29" s="311" t="s">
        <v>188</v>
      </c>
      <c r="D29" s="312" t="s">
        <v>177</v>
      </c>
      <c r="E29" s="313" t="s">
        <v>36</v>
      </c>
      <c r="F29" s="313" t="s">
        <v>36</v>
      </c>
      <c r="G29" s="314" t="s">
        <v>189</v>
      </c>
      <c r="H29" s="315"/>
      <c r="I29" s="316">
        <f>(COMBIN(4,1)*COMBIN(1,1))*(COMBIN(3,1)*COMBIN(4,1))*(COMBIN(2,1)*COMBIN(2,2)+COMBIN(2,2)*COMBIN(2,1))</f>
        <v>192</v>
      </c>
      <c r="J29" s="317"/>
      <c r="K29" s="217">
        <f>4*1*3*4*(2*1+1*2)</f>
        <v>192</v>
      </c>
      <c r="L29" s="217">
        <f>4*3*1*2*2*4</f>
        <v>192</v>
      </c>
      <c r="M29" s="241">
        <v>0</v>
      </c>
      <c r="N29" s="218"/>
    </row>
    <row r="30" spans="2:14" ht="13.5" thickTop="1" x14ac:dyDescent="0.2">
      <c r="B30" s="297" t="s">
        <v>59</v>
      </c>
      <c r="C30" s="34" t="s">
        <v>26</v>
      </c>
      <c r="D30" s="35" t="s">
        <v>34</v>
      </c>
      <c r="E30" s="35" t="s">
        <v>34</v>
      </c>
      <c r="F30" s="35" t="s">
        <v>190</v>
      </c>
      <c r="G30" s="233" t="s">
        <v>6</v>
      </c>
      <c r="H30" s="234"/>
      <c r="I30" s="59">
        <f>COMBIN(4,1)*(COMBIN(3,1)*COMBIN(4,1))*(COMBIN(2,1)*COMBIN(4,2)+COMBIN(2,2)*COMBIN(4,1)*COMBIN(1,1))</f>
        <v>768</v>
      </c>
      <c r="J30" s="291">
        <f>SUM(I30:I35)</f>
        <v>9104</v>
      </c>
      <c r="K30" s="217">
        <f>4*3*1*4*4*4</f>
        <v>768</v>
      </c>
      <c r="L30" s="217"/>
      <c r="M30" s="292">
        <f>I30</f>
        <v>768</v>
      </c>
      <c r="N30" s="298">
        <f>SUM(M30:M35)</f>
        <v>4496</v>
      </c>
    </row>
    <row r="31" spans="2:14" x14ac:dyDescent="0.2">
      <c r="B31" s="235"/>
      <c r="C31" s="14" t="s">
        <v>27</v>
      </c>
      <c r="D31" s="35" t="s">
        <v>34</v>
      </c>
      <c r="E31" s="35" t="s">
        <v>34</v>
      </c>
      <c r="F31" s="307" t="s">
        <v>186</v>
      </c>
      <c r="G31" s="16" t="s">
        <v>16</v>
      </c>
      <c r="H31" s="44"/>
      <c r="I31" s="59">
        <f>(COMBIN(4,1)*COMBIN(1,1))*(COMBIN(3,1)*COMBIN(4,1))*(COMBIN(2,1)*COMBIN(4,2)+COMBIN(2,2)*COMBIN(4,1)*COMBIN(1,1))+(COMBIN(4,2)*COMBIN(1,1))*(COMBIN(2,1)*COMBIN(4,2)+COMBIN(2,2)*COMBIN(4,1)*COMBIN(1,1))</f>
        <v>864</v>
      </c>
      <c r="J31" s="218"/>
      <c r="K31" s="217">
        <f>4*3*1*4*4*4+6*4*4*1*1</f>
        <v>864</v>
      </c>
      <c r="M31" s="241">
        <f>I10</f>
        <v>96</v>
      </c>
      <c r="N31" s="291"/>
    </row>
    <row r="32" spans="2:14" x14ac:dyDescent="0.2">
      <c r="B32" s="235"/>
      <c r="C32" s="14" t="s">
        <v>28</v>
      </c>
      <c r="D32" s="35" t="s">
        <v>34</v>
      </c>
      <c r="E32" s="15" t="s">
        <v>35</v>
      </c>
      <c r="F32" s="15" t="s">
        <v>35</v>
      </c>
      <c r="G32" s="14" t="s">
        <v>6</v>
      </c>
      <c r="H32" s="44"/>
      <c r="I32" s="59">
        <f>(COMBIN(4,1)*COMBIN(4,1))*COMBIN(3,1)*(COMBIN(2,1)*COMBIN(5,2)+COMBIN(2,2)*COMBIN(5,1)*COMBIN(1,1))</f>
        <v>1200</v>
      </c>
      <c r="J32" s="218"/>
      <c r="K32" s="21">
        <f>4*3*1*4*5*5</f>
        <v>1200</v>
      </c>
      <c r="M32" s="204">
        <f>I32</f>
        <v>1200</v>
      </c>
      <c r="N32" s="291"/>
    </row>
    <row r="33" spans="2:14" x14ac:dyDescent="0.2">
      <c r="B33" s="235"/>
      <c r="C33" s="14" t="s">
        <v>191</v>
      </c>
      <c r="D33" s="35" t="s">
        <v>34</v>
      </c>
      <c r="E33" s="15" t="s">
        <v>35</v>
      </c>
      <c r="F33" s="15" t="s">
        <v>187</v>
      </c>
      <c r="G33" s="16" t="s">
        <v>16</v>
      </c>
      <c r="H33" s="44">
        <f>COMBIN(4,1)*COMBIN(3,1)*COMBIN(2,1)*COMBIN(1,1)</f>
        <v>24</v>
      </c>
      <c r="I33" s="57">
        <f>4*5*4*1*H33</f>
        <v>1920</v>
      </c>
      <c r="J33" s="218"/>
      <c r="K33" s="217"/>
      <c r="M33" s="309">
        <f>I33</f>
        <v>1920</v>
      </c>
      <c r="N33" s="291"/>
    </row>
    <row r="34" spans="2:14" x14ac:dyDescent="0.2">
      <c r="B34" s="235"/>
      <c r="C34" s="14" t="s">
        <v>192</v>
      </c>
      <c r="D34" s="35" t="s">
        <v>34</v>
      </c>
      <c r="E34" s="15" t="s">
        <v>35</v>
      </c>
      <c r="F34" s="15" t="s">
        <v>36</v>
      </c>
      <c r="G34" s="307" t="s">
        <v>189</v>
      </c>
      <c r="H34" s="44">
        <f>COMBIN(4,1)*COMBIN(3,1)*COMBIN(2,1)*COMBIN(1,1)</f>
        <v>24</v>
      </c>
      <c r="I34" s="57">
        <f>4*5*2*4*H34</f>
        <v>3840</v>
      </c>
      <c r="J34" s="218"/>
      <c r="K34" s="217"/>
      <c r="M34" s="241">
        <v>0</v>
      </c>
      <c r="N34" s="291"/>
    </row>
    <row r="35" spans="2:14" ht="13.5" thickBot="1" x14ac:dyDescent="0.25">
      <c r="B35" s="237"/>
      <c r="C35" s="37" t="s">
        <v>30</v>
      </c>
      <c r="D35" s="228" t="s">
        <v>34</v>
      </c>
      <c r="E35" s="228" t="s">
        <v>36</v>
      </c>
      <c r="F35" s="228" t="s">
        <v>187</v>
      </c>
      <c r="G35" s="228" t="s">
        <v>36</v>
      </c>
      <c r="H35" s="45"/>
      <c r="I35" s="58">
        <f>COMBIN(4,1)*COMBIN(4,1)*(COMBIN(3,1)*COMBIN(2,1)*(COMBIN(2,1)*COMBIN(2,2)+COMBIN(2,2)*COMBIN(2,1))+COMBIN(3,1)*COMBIN(2,1)*COMBIN(2,2)+COMBIN(3,3)*COMBIN(2,1))</f>
        <v>512</v>
      </c>
      <c r="J35" s="296"/>
      <c r="K35" s="217">
        <f>4*3*4*2*2*2+4*4*2*2*2</f>
        <v>512</v>
      </c>
      <c r="M35" s="236">
        <f>I35</f>
        <v>512</v>
      </c>
      <c r="N35" s="296"/>
    </row>
    <row r="36" spans="2:14" ht="13.5" thickTop="1" x14ac:dyDescent="0.2">
      <c r="B36" s="238" t="s">
        <v>60</v>
      </c>
      <c r="C36" s="34" t="s">
        <v>31</v>
      </c>
      <c r="D36" s="35" t="s">
        <v>35</v>
      </c>
      <c r="E36" s="35" t="s">
        <v>35</v>
      </c>
      <c r="F36" s="35" t="s">
        <v>35</v>
      </c>
      <c r="G36" s="318" t="s">
        <v>186</v>
      </c>
      <c r="H36" s="46"/>
      <c r="I36" s="319">
        <f>(COMBIN(4,1)*COMBIN(5,1))*(COMBIN(3,1)*COMBIN(5,3)*COMBIN(2,1)+COMBIN(3,1)*COMBIN(5,1)*COMBIN(2,2)*COMBIN(4,1)+COMBIN(3,3)*COMBIN(5,1))</f>
        <v>2500</v>
      </c>
      <c r="J36" s="291">
        <f>SUM(I36:I37)</f>
        <v>4300</v>
      </c>
      <c r="K36" s="217">
        <f>4*5*5*5*5</f>
        <v>2500</v>
      </c>
      <c r="M36" s="241">
        <f>I14</f>
        <v>500</v>
      </c>
      <c r="N36" s="291">
        <f>SUM(M36:M37)</f>
        <v>2300</v>
      </c>
    </row>
    <row r="37" spans="2:14" ht="13.5" thickBot="1" x14ac:dyDescent="0.25">
      <c r="B37" s="242"/>
      <c r="C37" s="299" t="s">
        <v>37</v>
      </c>
      <c r="D37" s="18" t="s">
        <v>35</v>
      </c>
      <c r="E37" s="18" t="s">
        <v>35</v>
      </c>
      <c r="F37" s="18" t="s">
        <v>187</v>
      </c>
      <c r="G37" s="18" t="s">
        <v>36</v>
      </c>
      <c r="H37" s="244"/>
      <c r="I37" s="245">
        <f>COMBIN(4,1)*COMBIN(2,1)*(COMBIN(3,1)*COMBIN(2,1))*(COMBIN(2,1)*COMBIN(5,2)+COMBIN(2,2)*COMBIN(5,1)*COMBIN(1,1))+(COMBIN(4,1)*COMBIN(3,1)*COMBIN(5,2)+COMBIN(4,2)*COMBIN(5,1)*COMBIN(1,1))*(COMBIN(2,1)*COMBIN(2,2)+COMBIN(2,2)*COMBIN(2,1))</f>
        <v>1800</v>
      </c>
      <c r="J37" s="300"/>
      <c r="K37" s="217">
        <f>4*3*2*2*5*5+6*2*2*5*5</f>
        <v>1800</v>
      </c>
      <c r="M37" s="247">
        <f>I37</f>
        <v>1800</v>
      </c>
      <c r="N37" s="300"/>
    </row>
    <row r="38" spans="2:14" x14ac:dyDescent="0.2">
      <c r="B38" s="2"/>
      <c r="C38" s="5"/>
      <c r="D38" s="2"/>
      <c r="E38" s="2"/>
      <c r="F38" s="2"/>
      <c r="G38" s="2"/>
      <c r="H38" s="2"/>
      <c r="I38" s="301">
        <f>SUM(I24:I37)</f>
        <v>15246</v>
      </c>
      <c r="J38" s="2">
        <f>SUM(J24:J37)</f>
        <v>15246</v>
      </c>
      <c r="K38" s="49"/>
      <c r="M38" s="302">
        <f>SUM(M24:M37)</f>
        <v>7582</v>
      </c>
      <c r="N38" s="2">
        <f>SUM(N24:N37)</f>
        <v>7582</v>
      </c>
    </row>
    <row r="39" spans="2:14" x14ac:dyDescent="0.2">
      <c r="B39" s="2"/>
      <c r="C39" s="5"/>
      <c r="H39" s="83" t="s">
        <v>182</v>
      </c>
      <c r="I39" s="303">
        <f>I38/COMBIN(20,10)*100</f>
        <v>8.2519647535127412</v>
      </c>
      <c r="J39" s="49"/>
      <c r="M39" s="304">
        <f>M38/COMBIN(20,10)*100</f>
        <v>4.1037909458962085</v>
      </c>
      <c r="N39" s="47"/>
    </row>
    <row r="42" spans="2:14" ht="13.5" thickBot="1" x14ac:dyDescent="0.25"/>
    <row r="43" spans="2:14" ht="45.75" customHeight="1" thickBot="1" x14ac:dyDescent="0.25">
      <c r="B43" s="320" t="s">
        <v>193</v>
      </c>
      <c r="C43" s="321" t="s">
        <v>194</v>
      </c>
      <c r="D43" s="322" t="s">
        <v>195</v>
      </c>
    </row>
    <row r="44" spans="2:14" ht="45.75" customHeight="1" x14ac:dyDescent="0.2">
      <c r="B44" s="323" t="s">
        <v>196</v>
      </c>
      <c r="C44" s="324">
        <f>I16*2</f>
        <v>8636</v>
      </c>
      <c r="D44" s="325">
        <f>I16+M16</f>
        <v>10552</v>
      </c>
    </row>
    <row r="45" spans="2:14" ht="45" customHeight="1" thickBot="1" x14ac:dyDescent="0.25">
      <c r="B45" s="326" t="s">
        <v>197</v>
      </c>
      <c r="C45" s="327">
        <f>C44/COMBIN(20,10)*100</f>
        <v>4.6742730953257272</v>
      </c>
      <c r="D45" s="328">
        <f>D44/COMBIN(20,10)*100</f>
        <v>5.7113165472298597</v>
      </c>
    </row>
    <row r="46" spans="2:14" ht="48.75" customHeight="1" thickTop="1" x14ac:dyDescent="0.2">
      <c r="B46" s="329" t="s">
        <v>198</v>
      </c>
      <c r="C46" s="28">
        <f>M38*2</f>
        <v>15164</v>
      </c>
      <c r="D46" s="330">
        <f>I38+M38</f>
        <v>22828</v>
      </c>
    </row>
    <row r="47" spans="2:14" ht="54" customHeight="1" thickBot="1" x14ac:dyDescent="0.25">
      <c r="B47" s="331" t="s">
        <v>199</v>
      </c>
      <c r="C47" s="332">
        <f>C46/COMBIN(20,10)*100</f>
        <v>8.207581891792417</v>
      </c>
      <c r="D47" s="333">
        <f>D46/COMBIN(20,10)*100</f>
        <v>12.355755699408951</v>
      </c>
    </row>
  </sheetData>
  <mergeCells count="2">
    <mergeCell ref="B2:J2"/>
    <mergeCell ref="B22:J22"/>
  </mergeCell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145"/>
  <sheetViews>
    <sheetView topLeftCell="A3" zoomScale="85" zoomScaleNormal="85" workbookViewId="0">
      <pane ySplit="1320" topLeftCell="A133" activePane="bottomLeft"/>
      <selection activeCell="J10" sqref="J10"/>
      <selection pane="bottomLeft" activeCell="N155" sqref="N155"/>
    </sheetView>
  </sheetViews>
  <sheetFormatPr defaultRowHeight="12.75" x14ac:dyDescent="0.2"/>
  <cols>
    <col min="2" max="2" width="27.7109375" customWidth="1"/>
    <col min="3" max="3" width="10.42578125" customWidth="1"/>
    <col min="4" max="4" width="19.5703125" customWidth="1"/>
    <col min="5" max="5" width="19.42578125" customWidth="1"/>
    <col min="6" max="6" width="10.7109375" customWidth="1"/>
    <col min="7" max="7" width="10.28515625" customWidth="1"/>
    <col min="8" max="8" width="18.42578125" customWidth="1"/>
    <col min="9" max="9" width="19.7109375" customWidth="1"/>
    <col min="10" max="10" width="13.85546875" customWidth="1"/>
  </cols>
  <sheetData>
    <row r="2" spans="2:11" ht="13.5" thickBot="1" x14ac:dyDescent="0.25">
      <c r="B2" s="51" t="s">
        <v>380</v>
      </c>
      <c r="C2" s="51"/>
      <c r="D2" s="51"/>
      <c r="E2" s="51"/>
    </row>
    <row r="3" spans="2:11" ht="64.5" thickBot="1" x14ac:dyDescent="0.25">
      <c r="B3" s="89" t="s">
        <v>0</v>
      </c>
      <c r="C3" s="90" t="s">
        <v>9</v>
      </c>
      <c r="D3" s="91" t="s">
        <v>1</v>
      </c>
      <c r="E3" s="91" t="s">
        <v>2</v>
      </c>
      <c r="F3" s="91" t="s">
        <v>3</v>
      </c>
      <c r="G3" s="91" t="s">
        <v>4</v>
      </c>
      <c r="H3" s="90" t="s">
        <v>205</v>
      </c>
      <c r="I3" s="92" t="s">
        <v>250</v>
      </c>
      <c r="J3" s="488" t="s">
        <v>8</v>
      </c>
      <c r="K3" s="358"/>
    </row>
    <row r="4" spans="2:11" ht="25.5" x14ac:dyDescent="0.2">
      <c r="B4" s="383" t="s">
        <v>377</v>
      </c>
      <c r="C4" s="34" t="s">
        <v>211</v>
      </c>
      <c r="D4" s="25" t="s">
        <v>204</v>
      </c>
      <c r="E4" s="458" t="s">
        <v>379</v>
      </c>
      <c r="F4" s="191" t="s">
        <v>6</v>
      </c>
      <c r="G4" s="27" t="s">
        <v>6</v>
      </c>
      <c r="H4" s="28">
        <v>1</v>
      </c>
      <c r="I4" s="59">
        <v>2</v>
      </c>
      <c r="J4" s="489">
        <f>COMBIN(6,6)*(COMBIN(2,2)*COMBIN(4,2)+1)*COMBIN(8,0)*H4*I4</f>
        <v>14</v>
      </c>
      <c r="K4" s="359"/>
    </row>
    <row r="5" spans="2:11" ht="13.5" thickBot="1" x14ac:dyDescent="0.25">
      <c r="B5" s="392"/>
      <c r="C5" s="400" t="s">
        <v>212</v>
      </c>
      <c r="D5" s="394" t="s">
        <v>204</v>
      </c>
      <c r="E5" s="411" t="s">
        <v>6</v>
      </c>
      <c r="F5" s="396" t="s">
        <v>53</v>
      </c>
      <c r="G5" s="412" t="s">
        <v>6</v>
      </c>
      <c r="H5" s="398">
        <v>2</v>
      </c>
      <c r="I5" s="418">
        <v>2</v>
      </c>
      <c r="J5" s="490">
        <f>COMBIN(6,6)*COMBIN(6,0)*COMBIN(4,4)*COMBIN(4,0)*H5*I5-4</f>
        <v>0</v>
      </c>
      <c r="K5" s="359"/>
    </row>
    <row r="6" spans="2:11" x14ac:dyDescent="0.2">
      <c r="B6" s="186"/>
      <c r="C6" s="34" t="s">
        <v>213</v>
      </c>
      <c r="D6" s="455" t="s">
        <v>353</v>
      </c>
      <c r="E6" s="25" t="s">
        <v>206</v>
      </c>
      <c r="F6" s="191" t="s">
        <v>6</v>
      </c>
      <c r="G6" s="27" t="s">
        <v>6</v>
      </c>
      <c r="H6" s="28">
        <v>1</v>
      </c>
      <c r="I6" s="56">
        <v>2</v>
      </c>
      <c r="J6" s="330">
        <f>COMBIN(2,2)*COMBIN(4,2)*COMBIN(6,6)*COMBIN(8,0)*H6*I6</f>
        <v>12</v>
      </c>
      <c r="K6" s="359"/>
    </row>
    <row r="7" spans="2:11" ht="13.5" thickBot="1" x14ac:dyDescent="0.25">
      <c r="B7" s="342"/>
      <c r="C7" s="344" t="s">
        <v>230</v>
      </c>
      <c r="D7" s="348" t="s">
        <v>6</v>
      </c>
      <c r="E7" s="343" t="s">
        <v>206</v>
      </c>
      <c r="F7" s="347" t="s">
        <v>53</v>
      </c>
      <c r="G7" s="349" t="s">
        <v>6</v>
      </c>
      <c r="H7" s="350">
        <v>2</v>
      </c>
      <c r="I7" s="351">
        <v>2</v>
      </c>
      <c r="J7" s="491">
        <f>COMBIN(6,0)*COMBIN(6,6)*COMBIN(4,4)*COMBIN(4,0)*H7*I7</f>
        <v>4</v>
      </c>
      <c r="K7" s="359"/>
    </row>
    <row r="8" spans="2:11" x14ac:dyDescent="0.2">
      <c r="B8" s="186"/>
      <c r="C8" s="24" t="s">
        <v>214</v>
      </c>
      <c r="D8" s="25" t="s">
        <v>204</v>
      </c>
      <c r="E8" s="26" t="s">
        <v>378</v>
      </c>
      <c r="F8" s="335" t="s">
        <v>38</v>
      </c>
      <c r="G8" s="27" t="s">
        <v>6</v>
      </c>
      <c r="H8" s="28">
        <v>2</v>
      </c>
      <c r="I8" s="56">
        <v>2</v>
      </c>
      <c r="J8" s="330">
        <f>COMBIN(6,6)*(COMBIN(2,2)*(COMBIN(4,1)-1)+1)*COMBIN(1,1)*COMBIN(7,0)*H8*I8</f>
        <v>16</v>
      </c>
      <c r="K8" s="359"/>
    </row>
    <row r="9" spans="2:11" x14ac:dyDescent="0.2">
      <c r="B9" s="205"/>
      <c r="C9" s="7" t="s">
        <v>215</v>
      </c>
      <c r="D9" s="25" t="s">
        <v>204</v>
      </c>
      <c r="E9" s="13" t="s">
        <v>208</v>
      </c>
      <c r="F9" s="334" t="s">
        <v>39</v>
      </c>
      <c r="G9" s="12" t="s">
        <v>6</v>
      </c>
      <c r="H9" s="6">
        <v>2</v>
      </c>
      <c r="I9" s="54">
        <v>2</v>
      </c>
      <c r="J9" s="492">
        <f>COMBIN(6,6)*COMBIN(3,3)*COMBIN(3,0)*COMBIN(4,1)*COMBIN(4,0)*H9*I9</f>
        <v>16</v>
      </c>
      <c r="K9" s="359"/>
    </row>
    <row r="10" spans="2:11" x14ac:dyDescent="0.2">
      <c r="B10" s="205"/>
      <c r="C10" s="7" t="s">
        <v>216</v>
      </c>
      <c r="D10" s="25" t="s">
        <v>204</v>
      </c>
      <c r="E10" s="381" t="s">
        <v>39</v>
      </c>
      <c r="F10" s="13" t="s">
        <v>208</v>
      </c>
      <c r="G10" s="12" t="s">
        <v>6</v>
      </c>
      <c r="H10" s="6">
        <v>2</v>
      </c>
      <c r="I10" s="54">
        <v>2</v>
      </c>
      <c r="J10" s="493">
        <f>COMBIN(6,6)*COMBIN(6,1)*COMBIN(3,3)*COMBIN(5,0)*H10*I10-12</f>
        <v>12</v>
      </c>
      <c r="K10" s="359"/>
    </row>
    <row r="11" spans="2:11" x14ac:dyDescent="0.2">
      <c r="B11" s="205"/>
      <c r="C11" s="7" t="s">
        <v>298</v>
      </c>
      <c r="D11" s="25" t="s">
        <v>204</v>
      </c>
      <c r="E11" s="363" t="s">
        <v>38</v>
      </c>
      <c r="F11" s="13" t="s">
        <v>378</v>
      </c>
      <c r="G11" s="12" t="s">
        <v>6</v>
      </c>
      <c r="H11" s="6">
        <v>2</v>
      </c>
      <c r="I11" s="54">
        <v>2</v>
      </c>
      <c r="J11" s="493">
        <f>COMBIN(6,6)*COMBIN(1,1)*COMBIN(5,0)*(COMBIN(2,2)*(COMBIN(2,1)-1)+1)*COMBIN(4,0)*H11*I11</f>
        <v>8</v>
      </c>
      <c r="K11" s="359"/>
    </row>
    <row r="12" spans="2:11" x14ac:dyDescent="0.2">
      <c r="B12" s="205"/>
      <c r="C12" s="7" t="s">
        <v>299</v>
      </c>
      <c r="D12" s="25" t="s">
        <v>204</v>
      </c>
      <c r="E12" s="381" t="s">
        <v>6</v>
      </c>
      <c r="F12" s="13" t="s">
        <v>378</v>
      </c>
      <c r="G12" s="363" t="s">
        <v>38</v>
      </c>
      <c r="H12" s="6">
        <v>2</v>
      </c>
      <c r="I12" s="54">
        <v>2</v>
      </c>
      <c r="J12" s="492">
        <f>COMBIN(6,6)*COMBIN(6,0)*(COMBIN(2,2)*(COMBIN(2,1)-1)+1)*COMBIN(1,1)*COMBIN(3,0)*H12*I12</f>
        <v>8</v>
      </c>
      <c r="K12" s="359"/>
    </row>
    <row r="13" spans="2:11" ht="13.5" thickBot="1" x14ac:dyDescent="0.25">
      <c r="B13" s="392"/>
      <c r="C13" s="393" t="s">
        <v>300</v>
      </c>
      <c r="D13" s="394" t="s">
        <v>204</v>
      </c>
      <c r="E13" s="395" t="s">
        <v>6</v>
      </c>
      <c r="F13" s="396" t="s">
        <v>208</v>
      </c>
      <c r="G13" s="397" t="s">
        <v>39</v>
      </c>
      <c r="H13" s="398">
        <v>2</v>
      </c>
      <c r="I13" s="399">
        <v>2</v>
      </c>
      <c r="J13" s="490">
        <f>COMBIN(6,6)*COMBIN(6,0)*COMBIN(3,3)*COMBIN(1,0)*COMBIN(4,1)*H13*I13-4</f>
        <v>12</v>
      </c>
      <c r="K13" s="359"/>
    </row>
    <row r="14" spans="2:11" x14ac:dyDescent="0.2">
      <c r="B14" s="186"/>
      <c r="C14" s="34" t="s">
        <v>301</v>
      </c>
      <c r="D14" s="25" t="s">
        <v>169</v>
      </c>
      <c r="E14" s="36" t="s">
        <v>209</v>
      </c>
      <c r="F14" s="239" t="s">
        <v>38</v>
      </c>
      <c r="G14" s="34" t="s">
        <v>6</v>
      </c>
      <c r="H14" s="46">
        <v>2</v>
      </c>
      <c r="I14" s="59">
        <v>2</v>
      </c>
      <c r="J14" s="494">
        <f>COMBIN(2,2)*COMBIN(4,1)*COMBIN(6,6)*COMBIN(1,1)*COMBIN(7,0)*H14*I14</f>
        <v>16</v>
      </c>
      <c r="K14" s="360"/>
    </row>
    <row r="15" spans="2:11" x14ac:dyDescent="0.2">
      <c r="B15" s="205"/>
      <c r="C15" s="14" t="s">
        <v>302</v>
      </c>
      <c r="D15" s="10" t="s">
        <v>256</v>
      </c>
      <c r="E15" s="17" t="s">
        <v>209</v>
      </c>
      <c r="F15" s="16" t="s">
        <v>45</v>
      </c>
      <c r="G15" s="14" t="s">
        <v>6</v>
      </c>
      <c r="H15" s="44">
        <v>2</v>
      </c>
      <c r="I15" s="57">
        <v>2</v>
      </c>
      <c r="J15" s="495">
        <f>COMBIN(6,1)*COMBIN(6,6)*COMBIN(3,3)*COMBIN(5,0)*H15*I15</f>
        <v>24</v>
      </c>
      <c r="K15" s="360"/>
    </row>
    <row r="16" spans="2:11" x14ac:dyDescent="0.2">
      <c r="B16" s="205"/>
      <c r="C16" s="14" t="s">
        <v>303</v>
      </c>
      <c r="D16" s="401" t="s">
        <v>38</v>
      </c>
      <c r="E16" s="17" t="s">
        <v>209</v>
      </c>
      <c r="F16" s="13" t="s">
        <v>378</v>
      </c>
      <c r="G16" s="14" t="s">
        <v>6</v>
      </c>
      <c r="H16" s="44">
        <v>2</v>
      </c>
      <c r="I16" s="57">
        <v>2</v>
      </c>
      <c r="J16" s="495">
        <f>COMBIN(1,1)*COMBIN(5,0)*COMBIN(6,6)*(COMBIN(2,2)*(COMBIN(2,1)-1)+1)*COMBIN(4,0)*H16*I16</f>
        <v>8</v>
      </c>
      <c r="K16" s="360"/>
    </row>
    <row r="17" spans="2:11" x14ac:dyDescent="0.2">
      <c r="B17" s="205"/>
      <c r="C17" s="14" t="s">
        <v>304</v>
      </c>
      <c r="D17" s="14" t="s">
        <v>6</v>
      </c>
      <c r="E17" s="17" t="s">
        <v>209</v>
      </c>
      <c r="F17" s="13" t="s">
        <v>378</v>
      </c>
      <c r="G17" s="363" t="s">
        <v>38</v>
      </c>
      <c r="H17" s="44">
        <v>2</v>
      </c>
      <c r="I17" s="57">
        <v>2</v>
      </c>
      <c r="J17" s="495">
        <f>COMBIN(6,0)*COMBIN(6,6)*(COMBIN(2,2)*(COMBIN(2,1)-1)+1)*COMBIN(1,1)*COMBIN(3,0)*H17*I17</f>
        <v>8</v>
      </c>
      <c r="K17" s="360"/>
    </row>
    <row r="18" spans="2:11" ht="13.5" thickBot="1" x14ac:dyDescent="0.25">
      <c r="B18" s="342"/>
      <c r="C18" s="344" t="s">
        <v>327</v>
      </c>
      <c r="D18" s="344" t="s">
        <v>6</v>
      </c>
      <c r="E18" s="391" t="s">
        <v>209</v>
      </c>
      <c r="F18" s="48" t="s">
        <v>208</v>
      </c>
      <c r="G18" s="382" t="s">
        <v>39</v>
      </c>
      <c r="H18" s="345">
        <v>2</v>
      </c>
      <c r="I18" s="346">
        <v>2</v>
      </c>
      <c r="J18" s="496">
        <f>COMBIN(6,0)*COMBIN(6,6)*COMBIN(3,3)*COMBIN(1,0)*COMBIN(4,1)*H18*I18</f>
        <v>16</v>
      </c>
      <c r="K18" s="360"/>
    </row>
    <row r="19" spans="2:11" ht="15" customHeight="1" x14ac:dyDescent="0.2">
      <c r="B19" s="186"/>
      <c r="C19" s="24" t="s">
        <v>217</v>
      </c>
      <c r="D19" s="25" t="s">
        <v>204</v>
      </c>
      <c r="E19" s="239" t="s">
        <v>41</v>
      </c>
      <c r="F19" s="239" t="s">
        <v>157</v>
      </c>
      <c r="G19" s="34" t="s">
        <v>6</v>
      </c>
      <c r="H19" s="46">
        <v>2</v>
      </c>
      <c r="I19" s="59">
        <v>2</v>
      </c>
      <c r="J19" s="494">
        <f>COMBIN(6,6)*COMBIN(2,2)*COMBIN(4,0)*(COMBIN(1,1)*COMBIN(3,1)+1)*COMBIN(4,0)*H19*I19</f>
        <v>16</v>
      </c>
      <c r="K19" s="360"/>
    </row>
    <row r="20" spans="2:11" x14ac:dyDescent="0.2">
      <c r="B20" s="186"/>
      <c r="C20" s="24" t="s">
        <v>218</v>
      </c>
      <c r="D20" s="25" t="s">
        <v>204</v>
      </c>
      <c r="E20" s="239" t="s">
        <v>157</v>
      </c>
      <c r="F20" s="239" t="s">
        <v>227</v>
      </c>
      <c r="G20" s="34" t="s">
        <v>6</v>
      </c>
      <c r="H20" s="46">
        <v>2</v>
      </c>
      <c r="I20" s="59">
        <v>2</v>
      </c>
      <c r="J20" s="494">
        <f>COMBIN(6,6)*(COMBIN(1,1)*COMBIN(4,1)+1)*COMBIN(2,2)*COMBIN(2,0)*COMBIN(4,0)*H20*I20</f>
        <v>20</v>
      </c>
      <c r="K20" s="360"/>
    </row>
    <row r="21" spans="2:11" x14ac:dyDescent="0.2">
      <c r="B21" s="205"/>
      <c r="C21" s="7" t="s">
        <v>228</v>
      </c>
      <c r="D21" s="10" t="s">
        <v>204</v>
      </c>
      <c r="E21" s="14" t="s">
        <v>6</v>
      </c>
      <c r="F21" s="16" t="s">
        <v>157</v>
      </c>
      <c r="G21" s="16" t="s">
        <v>41</v>
      </c>
      <c r="H21" s="44">
        <v>2</v>
      </c>
      <c r="I21" s="57">
        <v>2</v>
      </c>
      <c r="J21" s="495">
        <f>COMBIN(6,6)*COMBIN(6,0)*(COMBIN(1,1)*(COMBIN(3,1)-1)+1)*COMBIN(2,2)*COMBIN(2,0)*H21*I21</f>
        <v>12</v>
      </c>
      <c r="K21" s="360"/>
    </row>
    <row r="22" spans="2:11" ht="13.5" thickBot="1" x14ac:dyDescent="0.25">
      <c r="B22" s="403"/>
      <c r="C22" s="404" t="s">
        <v>229</v>
      </c>
      <c r="D22" s="405" t="s">
        <v>204</v>
      </c>
      <c r="E22" s="406" t="s">
        <v>6</v>
      </c>
      <c r="F22" s="407" t="s">
        <v>227</v>
      </c>
      <c r="G22" s="407" t="s">
        <v>41</v>
      </c>
      <c r="H22" s="408">
        <v>1</v>
      </c>
      <c r="I22" s="409">
        <v>2</v>
      </c>
      <c r="J22" s="497">
        <f>COMBIN(6,6)*COMBIN(6,0)*COMBIN(4,4)*COMBIN(4,0)*H22*I22</f>
        <v>2</v>
      </c>
      <c r="K22" s="360"/>
    </row>
    <row r="23" spans="2:11" x14ac:dyDescent="0.2">
      <c r="B23" s="186"/>
      <c r="C23" s="24" t="s">
        <v>305</v>
      </c>
      <c r="D23" s="10" t="s">
        <v>226</v>
      </c>
      <c r="E23" s="15" t="s">
        <v>210</v>
      </c>
      <c r="F23" s="16" t="s">
        <v>227</v>
      </c>
      <c r="G23" s="14" t="s">
        <v>6</v>
      </c>
      <c r="H23" s="44">
        <v>2</v>
      </c>
      <c r="I23" s="57">
        <v>2</v>
      </c>
      <c r="J23" s="495">
        <f>COMBIN(1,1)*(COMBIN(5,1)-1)*COMBIN(6,6)*COMBIN(2,2)*COMBIN(2,0)*COMBIN(4,0)*H23*I23</f>
        <v>16</v>
      </c>
      <c r="K23" s="360"/>
    </row>
    <row r="24" spans="2:11" x14ac:dyDescent="0.2">
      <c r="B24" s="205"/>
      <c r="C24" s="7" t="s">
        <v>306</v>
      </c>
      <c r="D24" s="25" t="s">
        <v>41</v>
      </c>
      <c r="E24" s="35" t="s">
        <v>210</v>
      </c>
      <c r="F24" s="239" t="s">
        <v>157</v>
      </c>
      <c r="G24" s="34" t="s">
        <v>6</v>
      </c>
      <c r="H24" s="46">
        <v>2</v>
      </c>
      <c r="I24" s="46">
        <v>2</v>
      </c>
      <c r="J24" s="494">
        <f>COMBIN(2,2)*COMBIN(4,0)*COMBIN(6,6)*(COMBIN(1,1)*COMBIN(3,1)+1)*COMBIN(4,0)*H24*I24</f>
        <v>16</v>
      </c>
      <c r="K24" s="360"/>
    </row>
    <row r="25" spans="2:11" x14ac:dyDescent="0.2">
      <c r="B25" s="186"/>
      <c r="C25" s="24" t="s">
        <v>307</v>
      </c>
      <c r="D25" s="34" t="s">
        <v>6</v>
      </c>
      <c r="E25" s="35" t="s">
        <v>210</v>
      </c>
      <c r="F25" s="239" t="s">
        <v>157</v>
      </c>
      <c r="G25" s="25" t="s">
        <v>41</v>
      </c>
      <c r="H25" s="46">
        <v>2</v>
      </c>
      <c r="I25" s="46">
        <v>2</v>
      </c>
      <c r="J25" s="494">
        <f>COMBIN(6,0)*COMBIN(6,6)*(COMBIN(1,1)*(COMBIN(3,1)-1)+1)*COMBIN(2,2)*COMBIN(2,0)*H25*I25</f>
        <v>12</v>
      </c>
      <c r="K25" s="360"/>
    </row>
    <row r="26" spans="2:11" ht="13.5" thickBot="1" x14ac:dyDescent="0.25">
      <c r="B26" s="284"/>
      <c r="C26" s="339" t="s">
        <v>308</v>
      </c>
      <c r="D26" s="299" t="s">
        <v>6</v>
      </c>
      <c r="E26" s="18" t="s">
        <v>210</v>
      </c>
      <c r="F26" s="336" t="s">
        <v>41</v>
      </c>
      <c r="G26" s="336" t="s">
        <v>41</v>
      </c>
      <c r="H26" s="244">
        <v>1</v>
      </c>
      <c r="I26" s="244">
        <v>2</v>
      </c>
      <c r="J26" s="245">
        <f>COMBIN(6,0)*COMBIN(6,6)*COMBIN(4,4)*COMBIN(4,0)*H26*I26</f>
        <v>2</v>
      </c>
      <c r="K26" s="360"/>
    </row>
    <row r="27" spans="2:11" x14ac:dyDescent="0.2">
      <c r="B27" s="186"/>
      <c r="C27" s="24" t="s">
        <v>219</v>
      </c>
      <c r="D27" s="10" t="s">
        <v>204</v>
      </c>
      <c r="E27" s="16" t="s">
        <v>157</v>
      </c>
      <c r="F27" s="16" t="s">
        <v>38</v>
      </c>
      <c r="G27" s="16" t="s">
        <v>38</v>
      </c>
      <c r="H27" s="44">
        <v>1</v>
      </c>
      <c r="I27" s="57">
        <v>2</v>
      </c>
      <c r="J27" s="495">
        <f>COMBIN(6,6)*(COMBIN(1,1)*COMBIN(5,1)+1)*COMBIN(2,2)*COMBIN(6,0)*H27*I27</f>
        <v>12</v>
      </c>
      <c r="K27" s="360"/>
    </row>
    <row r="28" spans="2:11" x14ac:dyDescent="0.2">
      <c r="B28" s="235"/>
      <c r="C28" s="14" t="s">
        <v>220</v>
      </c>
      <c r="D28" s="25" t="s">
        <v>204</v>
      </c>
      <c r="E28" s="239" t="s">
        <v>41</v>
      </c>
      <c r="F28" s="239" t="s">
        <v>38</v>
      </c>
      <c r="G28" s="340" t="s">
        <v>39</v>
      </c>
      <c r="H28" s="46">
        <v>2</v>
      </c>
      <c r="I28" s="59">
        <v>2</v>
      </c>
      <c r="J28" s="494">
        <f>COMBIN(6,6)*COMBIN(2,2)*COMBIN(4,0)*COMBIN(1,1)*COMBIN(3,0)*(COMBIN(4,1)-1)*H28*I28</f>
        <v>12</v>
      </c>
      <c r="K28" s="360"/>
    </row>
    <row r="29" spans="2:11" x14ac:dyDescent="0.2">
      <c r="B29" s="205"/>
      <c r="C29" s="7" t="s">
        <v>221</v>
      </c>
      <c r="D29" s="10" t="s">
        <v>204</v>
      </c>
      <c r="E29" s="341" t="s">
        <v>39</v>
      </c>
      <c r="F29" s="16" t="s">
        <v>41</v>
      </c>
      <c r="G29" s="16" t="s">
        <v>38</v>
      </c>
      <c r="H29" s="44">
        <v>2</v>
      </c>
      <c r="I29" s="57">
        <v>2</v>
      </c>
      <c r="J29" s="495">
        <f>COMBIN(6,6)*(COMBIN(6,1)-1)*COMBIN(3,3)*COMBIN(5,0)*H29*I29</f>
        <v>20</v>
      </c>
      <c r="K29" s="360"/>
    </row>
    <row r="30" spans="2:11" x14ac:dyDescent="0.2">
      <c r="B30" s="205"/>
      <c r="C30" s="7" t="s">
        <v>223</v>
      </c>
      <c r="D30" s="10" t="s">
        <v>204</v>
      </c>
      <c r="E30" s="16" t="s">
        <v>38</v>
      </c>
      <c r="F30" s="16" t="s">
        <v>157</v>
      </c>
      <c r="G30" s="16" t="s">
        <v>38</v>
      </c>
      <c r="H30" s="44">
        <v>2</v>
      </c>
      <c r="I30" s="57">
        <v>2</v>
      </c>
      <c r="J30" s="495">
        <f>COMBIN(6,6)*COMBIN(1,1)*COMBIN(5,0)*(COMBIN(1,1)*(COMBIN(3,1)-1)+1)*COMBIN(1,1)*COMBIN(3,0)*H30*I30</f>
        <v>12</v>
      </c>
      <c r="K30" s="360"/>
    </row>
    <row r="31" spans="2:11" ht="13.5" thickBot="1" x14ac:dyDescent="0.25">
      <c r="B31" s="403"/>
      <c r="C31" s="404" t="s">
        <v>309</v>
      </c>
      <c r="D31" s="405" t="s">
        <v>204</v>
      </c>
      <c r="E31" s="407" t="s">
        <v>38</v>
      </c>
      <c r="F31" s="402" t="s">
        <v>41</v>
      </c>
      <c r="G31" s="410" t="s">
        <v>39</v>
      </c>
      <c r="H31" s="408">
        <v>2</v>
      </c>
      <c r="I31" s="409">
        <v>2</v>
      </c>
      <c r="J31" s="497">
        <f>COMBIN(6,6)*COMBIN(1,1)*COMBIN(5,0)*COMBIN(2,2)*COMBIN(2,0)*COMBIN(4,1)*H31*I31</f>
        <v>16</v>
      </c>
      <c r="K31" s="360"/>
    </row>
    <row r="32" spans="2:11" x14ac:dyDescent="0.2">
      <c r="B32" s="238"/>
      <c r="C32" s="34" t="s">
        <v>310</v>
      </c>
      <c r="D32" s="16" t="s">
        <v>166</v>
      </c>
      <c r="E32" s="16" t="s">
        <v>210</v>
      </c>
      <c r="F32" s="16" t="s">
        <v>38</v>
      </c>
      <c r="G32" s="16" t="s">
        <v>38</v>
      </c>
      <c r="H32" s="44">
        <v>1</v>
      </c>
      <c r="I32" s="57">
        <v>2</v>
      </c>
      <c r="J32" s="495">
        <f>COMBIN(1,1)*COMBIN(5,1)*COMBIN(6,6)*COMBIN(2,2)*COMBIN(6,0)*H32*I32</f>
        <v>10</v>
      </c>
      <c r="K32" s="360"/>
    </row>
    <row r="33" spans="2:11" x14ac:dyDescent="0.2">
      <c r="B33" s="235"/>
      <c r="C33" s="14" t="s">
        <v>311</v>
      </c>
      <c r="D33" s="36" t="s">
        <v>222</v>
      </c>
      <c r="E33" s="239" t="s">
        <v>210</v>
      </c>
      <c r="F33" s="239" t="s">
        <v>38</v>
      </c>
      <c r="G33" s="340" t="s">
        <v>39</v>
      </c>
      <c r="H33" s="46">
        <v>2</v>
      </c>
      <c r="I33" s="59">
        <v>2</v>
      </c>
      <c r="J33" s="494">
        <f>COMBIN(2,2)*COMBIN(4,0)*COMBIN(6,6)*COMBIN(1,1)*COMBIN(3,0)*(COMBIN(4,1)-1)*H33*I33</f>
        <v>12</v>
      </c>
      <c r="K33" s="360"/>
    </row>
    <row r="34" spans="2:11" x14ac:dyDescent="0.2">
      <c r="B34" s="235"/>
      <c r="C34" s="14" t="s">
        <v>312</v>
      </c>
      <c r="D34" s="341" t="s">
        <v>39</v>
      </c>
      <c r="E34" s="16" t="s">
        <v>210</v>
      </c>
      <c r="F34" s="16" t="s">
        <v>41</v>
      </c>
      <c r="G34" s="16" t="s">
        <v>38</v>
      </c>
      <c r="H34" s="44">
        <v>2</v>
      </c>
      <c r="I34" s="57">
        <v>2</v>
      </c>
      <c r="J34" s="495">
        <f>(COMBIN(6,1)-1)*COMBIN(6,6)*COMBIN(3,3)*COMBIN(5,0)*H34*I34</f>
        <v>20</v>
      </c>
      <c r="K34" s="360"/>
    </row>
    <row r="35" spans="2:11" x14ac:dyDescent="0.2">
      <c r="B35" s="235"/>
      <c r="C35" s="14" t="s">
        <v>313</v>
      </c>
      <c r="D35" s="16" t="s">
        <v>38</v>
      </c>
      <c r="E35" s="16" t="s">
        <v>210</v>
      </c>
      <c r="F35" s="16" t="s">
        <v>157</v>
      </c>
      <c r="G35" s="16" t="s">
        <v>38</v>
      </c>
      <c r="H35" s="44">
        <v>2</v>
      </c>
      <c r="I35" s="57">
        <v>2</v>
      </c>
      <c r="J35" s="495">
        <f>COMBIN(1,1)*COMBIN(5,0)*COMBIN(6,6)*(COMBIN(1,1)*(COMBIN(3,1)-1)+1)*COMBIN(1,1)*COMBIN(3,3)*H35*I35</f>
        <v>12</v>
      </c>
      <c r="K35" s="360"/>
    </row>
    <row r="36" spans="2:11" ht="13.5" thickBot="1" x14ac:dyDescent="0.25">
      <c r="B36" s="310"/>
      <c r="C36" s="311" t="s">
        <v>314</v>
      </c>
      <c r="D36" s="389" t="s">
        <v>38</v>
      </c>
      <c r="E36" s="389" t="s">
        <v>210</v>
      </c>
      <c r="F36" s="16" t="s">
        <v>227</v>
      </c>
      <c r="G36" s="413" t="s">
        <v>39</v>
      </c>
      <c r="H36" s="315">
        <v>2</v>
      </c>
      <c r="I36" s="316">
        <v>2</v>
      </c>
      <c r="J36" s="498">
        <f>COMBIN(1,1)*COMBIN(5,0)*COMBIN(6,6)*COMBIN(2,2)*COMBIN(2,0)*COMBIN(4,1)*H36*I36</f>
        <v>16</v>
      </c>
      <c r="K36" s="360">
        <f>SUM(J4:J36)</f>
        <v>412</v>
      </c>
    </row>
    <row r="37" spans="2:11" ht="27" thickTop="1" thickBot="1" x14ac:dyDescent="0.25">
      <c r="B37" s="384" t="s">
        <v>376</v>
      </c>
      <c r="C37" s="352" t="s">
        <v>224</v>
      </c>
      <c r="D37" s="353" t="s">
        <v>225</v>
      </c>
      <c r="E37" s="354" t="s">
        <v>246</v>
      </c>
      <c r="F37" s="352" t="s">
        <v>6</v>
      </c>
      <c r="G37" s="352" t="s">
        <v>6</v>
      </c>
      <c r="H37" s="355">
        <v>1</v>
      </c>
      <c r="I37" s="356">
        <v>2</v>
      </c>
      <c r="J37" s="499">
        <f>COMBIN(2,2)*COMBIN(4,3)*(COMBIN(2,2)*COMBIN(4,3)+2)*COMBIN(8,0)*H37*I37-8</f>
        <v>40</v>
      </c>
      <c r="K37" s="359"/>
    </row>
    <row r="38" spans="2:11" x14ac:dyDescent="0.2">
      <c r="B38" s="186"/>
      <c r="C38" s="34" t="s">
        <v>233</v>
      </c>
      <c r="D38" s="35" t="s">
        <v>231</v>
      </c>
      <c r="E38" s="36" t="s">
        <v>167</v>
      </c>
      <c r="F38" s="335" t="s">
        <v>38</v>
      </c>
      <c r="G38" s="34" t="s">
        <v>6</v>
      </c>
      <c r="H38" s="46">
        <v>2</v>
      </c>
      <c r="I38" s="59">
        <v>2</v>
      </c>
      <c r="J38" s="494">
        <f>COMBIN(2,2)*COMBIN(4,3)*COMBIN(3,3)*COMBIN(3,1)*COMBIN(1,1)*COMBIN(7,0)*H38*I38</f>
        <v>48</v>
      </c>
      <c r="K38" s="360"/>
    </row>
    <row r="39" spans="2:11" x14ac:dyDescent="0.2">
      <c r="B39" s="205"/>
      <c r="C39" s="34" t="s">
        <v>234</v>
      </c>
      <c r="D39" s="15" t="s">
        <v>231</v>
      </c>
      <c r="E39" s="262" t="s">
        <v>38</v>
      </c>
      <c r="F39" s="17" t="s">
        <v>61</v>
      </c>
      <c r="G39" s="14" t="s">
        <v>6</v>
      </c>
      <c r="H39" s="44">
        <v>2</v>
      </c>
      <c r="I39" s="57">
        <v>2</v>
      </c>
      <c r="J39" s="495">
        <f>COMBIN(2,2)*COMBIN(4,3)*COMBIN(1,1)*COMBIN(5,0)*COMBIN(4,4)*COMBIN(4,0)*H39*I39</f>
        <v>16</v>
      </c>
      <c r="K39" s="360"/>
    </row>
    <row r="40" spans="2:11" ht="13.5" thickBot="1" x14ac:dyDescent="0.25">
      <c r="B40" s="392"/>
      <c r="C40" s="400" t="s">
        <v>235</v>
      </c>
      <c r="D40" s="414" t="s">
        <v>231</v>
      </c>
      <c r="E40" s="400" t="s">
        <v>6</v>
      </c>
      <c r="F40" s="415" t="s">
        <v>61</v>
      </c>
      <c r="G40" s="416" t="s">
        <v>38</v>
      </c>
      <c r="H40" s="417">
        <v>2</v>
      </c>
      <c r="I40" s="418">
        <v>2</v>
      </c>
      <c r="J40" s="500">
        <f>COMBIN(2,2)*COMBIN(4,3)*COMBIN(6,0)*COMBIN(4,4)*COMBIN(1,1)*COMBIN(3,0)*H40*I40</f>
        <v>16</v>
      </c>
      <c r="K40" s="360"/>
    </row>
    <row r="41" spans="2:11" x14ac:dyDescent="0.2">
      <c r="B41" s="186"/>
      <c r="C41" s="34" t="s">
        <v>236</v>
      </c>
      <c r="D41" s="455" t="s">
        <v>353</v>
      </c>
      <c r="E41" s="35" t="s">
        <v>232</v>
      </c>
      <c r="F41" s="335" t="s">
        <v>38</v>
      </c>
      <c r="G41" s="34" t="s">
        <v>6</v>
      </c>
      <c r="H41" s="46">
        <v>2</v>
      </c>
      <c r="I41" s="59">
        <v>2</v>
      </c>
      <c r="J41" s="501">
        <f>COMBIN(2,2)*COMBIN(4,2)*COMBIN(3,3)*COMBIN(3,2)*COMBIN(1,1)*COMBIN(7,0)*H41*I41</f>
        <v>72</v>
      </c>
      <c r="K41" s="360"/>
    </row>
    <row r="42" spans="2:11" x14ac:dyDescent="0.2">
      <c r="B42" s="205"/>
      <c r="C42" s="34" t="s">
        <v>237</v>
      </c>
      <c r="D42" s="211" t="s">
        <v>39</v>
      </c>
      <c r="E42" s="15" t="s">
        <v>232</v>
      </c>
      <c r="F42" s="17" t="s">
        <v>61</v>
      </c>
      <c r="G42" s="14" t="s">
        <v>6</v>
      </c>
      <c r="H42" s="44">
        <v>2</v>
      </c>
      <c r="I42" s="57">
        <v>2</v>
      </c>
      <c r="J42" s="495">
        <f>(COMBIN(6,1)-1)*COMBIN(3,3)*COMBIN(3,2)*COMBIN(4,4)*COMBIN(4,0)*H42*I42</f>
        <v>60</v>
      </c>
      <c r="K42" s="360"/>
    </row>
    <row r="43" spans="2:11" ht="25.5" x14ac:dyDescent="0.2">
      <c r="B43" s="205"/>
      <c r="C43" s="34" t="s">
        <v>315</v>
      </c>
      <c r="D43" s="262" t="s">
        <v>38</v>
      </c>
      <c r="E43" s="17" t="s">
        <v>246</v>
      </c>
      <c r="F43" s="17" t="s">
        <v>61</v>
      </c>
      <c r="G43" s="14" t="s">
        <v>6</v>
      </c>
      <c r="H43" s="44">
        <v>2</v>
      </c>
      <c r="I43" s="57">
        <v>2</v>
      </c>
      <c r="J43" s="495">
        <f>COMBIN(1,1)*COMBIN(5,0)*(COMBIN(2,2)*COMBIN(4,3)+2)*COMBIN(4,4)*COMBIN(4,0)*H43*I43</f>
        <v>24</v>
      </c>
      <c r="K43" s="360"/>
    </row>
    <row r="44" spans="2:11" x14ac:dyDescent="0.2">
      <c r="B44" s="186"/>
      <c r="C44" s="34" t="s">
        <v>316</v>
      </c>
      <c r="D44" s="34" t="s">
        <v>6</v>
      </c>
      <c r="E44" s="35" t="s">
        <v>232</v>
      </c>
      <c r="F44" s="36" t="s">
        <v>61</v>
      </c>
      <c r="G44" s="191" t="s">
        <v>39</v>
      </c>
      <c r="H44" s="46">
        <v>2</v>
      </c>
      <c r="I44" s="59">
        <v>2</v>
      </c>
      <c r="J44" s="494">
        <f>COMBIN(6,0)*COMBIN(3,3)*COMBIN(3,2)*COMBIN(4,4)*(COMBIN(4,1)-1)*H44*I44</f>
        <v>36</v>
      </c>
      <c r="K44" s="360"/>
    </row>
    <row r="45" spans="2:11" ht="26.25" thickBot="1" x14ac:dyDescent="0.25">
      <c r="B45" s="284"/>
      <c r="C45" s="299" t="s">
        <v>317</v>
      </c>
      <c r="D45" s="299" t="s">
        <v>6</v>
      </c>
      <c r="E45" s="337" t="s">
        <v>246</v>
      </c>
      <c r="F45" s="337" t="s">
        <v>61</v>
      </c>
      <c r="G45" s="357" t="s">
        <v>38</v>
      </c>
      <c r="H45" s="244">
        <v>2</v>
      </c>
      <c r="I45" s="338">
        <v>2</v>
      </c>
      <c r="J45" s="245">
        <f>COMBIN(6,0)*(COMBIN(2,2)*COMBIN(4,3)+2)*COMBIN(4,4)*COMBIN(1,1)*COMBIN(3,0)*H45*I45</f>
        <v>24</v>
      </c>
      <c r="K45" s="360"/>
    </row>
    <row r="46" spans="2:11" x14ac:dyDescent="0.2">
      <c r="B46" s="186"/>
      <c r="C46" s="34" t="s">
        <v>239</v>
      </c>
      <c r="D46" s="35" t="s">
        <v>231</v>
      </c>
      <c r="E46" s="239" t="s">
        <v>238</v>
      </c>
      <c r="F46" s="39" t="s">
        <v>41</v>
      </c>
      <c r="G46" s="34" t="s">
        <v>6</v>
      </c>
      <c r="H46" s="46">
        <v>2</v>
      </c>
      <c r="I46" s="59">
        <v>2</v>
      </c>
      <c r="J46" s="494">
        <f>COMBIN(2,2)*COMBIN(4,3)*COMBIN(3,3)*COMBIN(3,0)*COMBIN(2,2)*COMBIN(6,0)*H46*I46</f>
        <v>16</v>
      </c>
      <c r="K46" s="360"/>
    </row>
    <row r="47" spans="2:11" x14ac:dyDescent="0.2">
      <c r="B47" s="186"/>
      <c r="C47" s="34" t="s">
        <v>240</v>
      </c>
      <c r="D47" s="35" t="s">
        <v>231</v>
      </c>
      <c r="E47" s="239" t="s">
        <v>241</v>
      </c>
      <c r="F47" s="39" t="s">
        <v>45</v>
      </c>
      <c r="G47" s="34" t="s">
        <v>6</v>
      </c>
      <c r="H47" s="46">
        <v>2</v>
      </c>
      <c r="I47" s="59">
        <v>2</v>
      </c>
      <c r="J47" s="494">
        <f>COMBIN(2,2)*COMBIN(4,3)*COMBIN(2,2)*COMBIN(4,0)*COMBIN(3,3)*COMBIN(5,0)*H47*I47</f>
        <v>16</v>
      </c>
      <c r="K47" s="360"/>
    </row>
    <row r="48" spans="2:11" ht="13.5" thickBot="1" x14ac:dyDescent="0.25">
      <c r="B48" s="392"/>
      <c r="C48" s="400" t="s">
        <v>242</v>
      </c>
      <c r="D48" s="414" t="s">
        <v>231</v>
      </c>
      <c r="E48" s="400" t="s">
        <v>6</v>
      </c>
      <c r="F48" s="419" t="s">
        <v>45</v>
      </c>
      <c r="G48" s="402" t="s">
        <v>241</v>
      </c>
      <c r="H48" s="417">
        <v>2</v>
      </c>
      <c r="I48" s="418">
        <v>2</v>
      </c>
      <c r="J48" s="500">
        <f>COMBIN(2,2)*COMBIN(4,3)*COMBIN(6,0)*COMBIN(3,3)*COMBIN(1,0)*COMBIN(2,2)*COMBIN(2,0)*H48*I48</f>
        <v>16</v>
      </c>
      <c r="K48" s="360"/>
    </row>
    <row r="49" spans="2:11" x14ac:dyDescent="0.2">
      <c r="B49" s="186"/>
      <c r="C49" s="34" t="s">
        <v>318</v>
      </c>
      <c r="D49" s="36" t="s">
        <v>207</v>
      </c>
      <c r="E49" s="35" t="s">
        <v>232</v>
      </c>
      <c r="F49" s="36" t="s">
        <v>41</v>
      </c>
      <c r="G49" s="34" t="s">
        <v>6</v>
      </c>
      <c r="H49" s="46">
        <v>2</v>
      </c>
      <c r="I49" s="59">
        <v>2</v>
      </c>
      <c r="J49" s="494">
        <f>COMBIN(2,2)*COMBIN(4,1)*COMBIN(3,3)*COMBIN(3,2)*COMBIN(2,2)*COMBIN(6,0)*H49*I49</f>
        <v>48</v>
      </c>
      <c r="K49" s="360"/>
    </row>
    <row r="50" spans="2:11" x14ac:dyDescent="0.2">
      <c r="B50" s="186"/>
      <c r="C50" s="34" t="s">
        <v>319</v>
      </c>
      <c r="D50" s="36" t="s">
        <v>41</v>
      </c>
      <c r="E50" s="35" t="s">
        <v>232</v>
      </c>
      <c r="F50" s="26" t="s">
        <v>378</v>
      </c>
      <c r="G50" s="34" t="s">
        <v>6</v>
      </c>
      <c r="H50" s="46">
        <v>2</v>
      </c>
      <c r="I50" s="59">
        <v>2</v>
      </c>
      <c r="J50" s="494">
        <f>COMBIN(2,2)*COMBIN(4,0)*COMBIN(3,3)*COMBIN(3,2)*(COMBIN(2,2)*(COMBIN(2,1)-1)+1)*COMBIN(4,0)*H50*I50</f>
        <v>24</v>
      </c>
      <c r="K50" s="360"/>
    </row>
    <row r="51" spans="2:11" ht="25.5" x14ac:dyDescent="0.2">
      <c r="B51" s="186"/>
      <c r="C51" s="34" t="s">
        <v>320</v>
      </c>
      <c r="D51" s="36" t="s">
        <v>41</v>
      </c>
      <c r="E51" s="36" t="s">
        <v>246</v>
      </c>
      <c r="F51" s="361" t="s">
        <v>45</v>
      </c>
      <c r="G51" s="34" t="s">
        <v>6</v>
      </c>
      <c r="H51" s="46">
        <v>2</v>
      </c>
      <c r="I51" s="59">
        <v>2</v>
      </c>
      <c r="J51" s="494">
        <f>COMBIN(2,2)*COMBIN(4,0)*(COMBIN(2,2)*COMBIN(4,3)+2)*COMBIN(3,3)*COMBIN(5,0)*H51*I51</f>
        <v>24</v>
      </c>
      <c r="K51" s="360"/>
    </row>
    <row r="52" spans="2:11" x14ac:dyDescent="0.2">
      <c r="B52" s="186"/>
      <c r="C52" s="34" t="s">
        <v>321</v>
      </c>
      <c r="D52" s="36" t="s">
        <v>226</v>
      </c>
      <c r="E52" s="35" t="s">
        <v>232</v>
      </c>
      <c r="F52" s="361" t="s">
        <v>45</v>
      </c>
      <c r="G52" s="34" t="s">
        <v>6</v>
      </c>
      <c r="H52" s="46">
        <v>2</v>
      </c>
      <c r="I52" s="59">
        <v>2</v>
      </c>
      <c r="J52" s="494">
        <f>COMBIN(1,1)*(COMBIN(5,1)-1)*COMBIN(3,3)*COMBIN(3,2)*COMBIN(3,3)*COMBIN(5,0)*H52*I52</f>
        <v>48</v>
      </c>
      <c r="K52" s="360"/>
    </row>
    <row r="53" spans="2:11" x14ac:dyDescent="0.2">
      <c r="B53" s="205"/>
      <c r="C53" s="14" t="s">
        <v>322</v>
      </c>
      <c r="D53" s="14" t="s">
        <v>6</v>
      </c>
      <c r="E53" s="15" t="s">
        <v>232</v>
      </c>
      <c r="F53" s="13" t="s">
        <v>378</v>
      </c>
      <c r="G53" s="17" t="s">
        <v>41</v>
      </c>
      <c r="H53" s="44">
        <v>2</v>
      </c>
      <c r="I53" s="57">
        <v>2</v>
      </c>
      <c r="J53" s="495">
        <f>COMBIN(6,0)*COMBIN(3,3)*COMBIN(3,2)*(COMBIN(2,2)*(COMBIN(2,1)-1)+1)*COMBIN(2,2)*COMBIN(2,0)*H53*I53</f>
        <v>24</v>
      </c>
      <c r="K53" s="360"/>
    </row>
    <row r="54" spans="2:11" x14ac:dyDescent="0.2">
      <c r="B54" s="205"/>
      <c r="C54" s="14" t="s">
        <v>323</v>
      </c>
      <c r="D54" s="14" t="s">
        <v>6</v>
      </c>
      <c r="E54" s="15" t="s">
        <v>232</v>
      </c>
      <c r="F54" s="363" t="s">
        <v>45</v>
      </c>
      <c r="G54" s="16" t="s">
        <v>157</v>
      </c>
      <c r="H54" s="44">
        <v>2</v>
      </c>
      <c r="I54" s="57">
        <v>2</v>
      </c>
      <c r="J54" s="495">
        <f>COMBIN(6,0)*COMBIN(3,3)*COMBIN(3,2)*COMBIN(3,3)*COMBIN(1,0)*(COMBIN(1,1)*(COMBIN(3,1)-1)+1)*H54*I54</f>
        <v>36</v>
      </c>
      <c r="K54" s="360"/>
    </row>
    <row r="55" spans="2:11" ht="26.25" thickBot="1" x14ac:dyDescent="0.25">
      <c r="B55" s="342"/>
      <c r="C55" s="367" t="s">
        <v>324</v>
      </c>
      <c r="D55" s="299" t="s">
        <v>6</v>
      </c>
      <c r="E55" s="337" t="s">
        <v>246</v>
      </c>
      <c r="F55" s="362" t="s">
        <v>45</v>
      </c>
      <c r="G55" s="337" t="s">
        <v>41</v>
      </c>
      <c r="H55" s="244">
        <v>2</v>
      </c>
      <c r="I55" s="244">
        <v>2</v>
      </c>
      <c r="J55" s="245">
        <f>COMBIN(6,0)*(COMBIN(2,2)*COMBIN(4,3)+2)*COMBIN(5,5)*COMBIN(3,0)*H55*I55</f>
        <v>24</v>
      </c>
      <c r="K55" s="360"/>
    </row>
    <row r="56" spans="2:11" x14ac:dyDescent="0.2">
      <c r="B56" s="186"/>
      <c r="C56" s="24" t="s">
        <v>243</v>
      </c>
      <c r="D56" s="35" t="s">
        <v>225</v>
      </c>
      <c r="E56" s="39" t="s">
        <v>45</v>
      </c>
      <c r="F56" s="39" t="s">
        <v>38</v>
      </c>
      <c r="G56" s="335" t="s">
        <v>38</v>
      </c>
      <c r="H56" s="46">
        <v>1</v>
      </c>
      <c r="I56" s="59">
        <v>2</v>
      </c>
      <c r="J56" s="494">
        <f>COMBIN(2,2)*COMBIN(4,3)*COMBIN(3,3)*COMBIN(3,0)*COMBIN(2,2)*COMBIN(6,0)*H56*I56</f>
        <v>8</v>
      </c>
      <c r="K56" s="360"/>
    </row>
    <row r="57" spans="2:11" ht="13.5" thickBot="1" x14ac:dyDescent="0.25">
      <c r="B57" s="392"/>
      <c r="C57" s="393" t="s">
        <v>244</v>
      </c>
      <c r="D57" s="414" t="s">
        <v>225</v>
      </c>
      <c r="E57" s="419" t="s">
        <v>38</v>
      </c>
      <c r="F57" s="419" t="s">
        <v>45</v>
      </c>
      <c r="G57" s="416" t="s">
        <v>38</v>
      </c>
      <c r="H57" s="417">
        <v>2</v>
      </c>
      <c r="I57" s="418">
        <v>2</v>
      </c>
      <c r="J57" s="500">
        <f>COMBIN(2,2)*COMBIN(4,3)*COMBIN(1,1)*COMBIN(5,0)*COMBIN(4,4)*COMBIN(4,0)*H57*I57</f>
        <v>16</v>
      </c>
      <c r="K57" s="360"/>
    </row>
    <row r="58" spans="2:11" x14ac:dyDescent="0.2">
      <c r="B58" s="186"/>
      <c r="C58" s="24" t="s">
        <v>245</v>
      </c>
      <c r="D58" s="36" t="s">
        <v>207</v>
      </c>
      <c r="E58" s="35" t="s">
        <v>232</v>
      </c>
      <c r="F58" s="335" t="s">
        <v>38</v>
      </c>
      <c r="G58" s="365" t="s">
        <v>38</v>
      </c>
      <c r="H58" s="46">
        <v>1</v>
      </c>
      <c r="I58" s="59">
        <v>2</v>
      </c>
      <c r="J58" s="494">
        <f>COMBIN(2,2)*COMBIN(4,1)*COMBIN(3,3)*COMBIN(3,2)*COMBIN(2,2)*COMBIN(6,0)*H58*I58</f>
        <v>24</v>
      </c>
      <c r="K58" s="360"/>
    </row>
    <row r="59" spans="2:11" x14ac:dyDescent="0.2">
      <c r="B59" s="205"/>
      <c r="C59" s="24" t="s">
        <v>247</v>
      </c>
      <c r="D59" s="17" t="s">
        <v>256</v>
      </c>
      <c r="E59" s="15" t="s">
        <v>232</v>
      </c>
      <c r="F59" s="262" t="s">
        <v>45</v>
      </c>
      <c r="G59" s="364" t="s">
        <v>38</v>
      </c>
      <c r="H59" s="44">
        <v>2</v>
      </c>
      <c r="I59" s="57">
        <v>2</v>
      </c>
      <c r="J59" s="495">
        <f>(COMBIN(6,1)-1)*COMBIN(3,3)*COMBIN(3,2)*COMBIN(4,4)*COMBIN(4,0)*H59*I59</f>
        <v>60</v>
      </c>
      <c r="K59" s="360"/>
    </row>
    <row r="60" spans="2:11" x14ac:dyDescent="0.2">
      <c r="B60" s="205"/>
      <c r="C60" s="24" t="s">
        <v>248</v>
      </c>
      <c r="D60" s="17" t="s">
        <v>38</v>
      </c>
      <c r="E60" s="15" t="s">
        <v>258</v>
      </c>
      <c r="F60" s="13" t="s">
        <v>208</v>
      </c>
      <c r="G60" s="17" t="s">
        <v>256</v>
      </c>
      <c r="H60" s="44">
        <v>2</v>
      </c>
      <c r="I60" s="57">
        <v>2</v>
      </c>
      <c r="J60" s="495">
        <f>COMBIN(1,1)*COMBIN(5,0)*COMBIN(3,3)*COMBIN(3,2)*COMBIN(3,3)*COMBIN(1,0)*(COMBIN(4,1)-1)*H60*I60</f>
        <v>36</v>
      </c>
      <c r="K60" s="360"/>
    </row>
    <row r="61" spans="2:11" x14ac:dyDescent="0.2">
      <c r="B61" s="205"/>
      <c r="C61" s="24" t="s">
        <v>249</v>
      </c>
      <c r="D61" s="17" t="s">
        <v>38</v>
      </c>
      <c r="E61" s="15" t="s">
        <v>258</v>
      </c>
      <c r="F61" s="13" t="s">
        <v>378</v>
      </c>
      <c r="G61" s="364" t="s">
        <v>38</v>
      </c>
      <c r="H61" s="44">
        <v>2</v>
      </c>
      <c r="I61" s="57">
        <v>2</v>
      </c>
      <c r="J61" s="495">
        <f>COMBIN(1,1)*COMBIN(5,0)*COMBIN(3,3)*COMBIN(3,2)*(COMBIN(2,2)*(COMBIN(2,1)-1)+1)*COMBIN(1,1)*COMBIN(3,0)*H61*I61</f>
        <v>24</v>
      </c>
      <c r="K61" s="360"/>
    </row>
    <row r="62" spans="2:11" ht="26.25" thickBot="1" x14ac:dyDescent="0.25">
      <c r="B62" s="284"/>
      <c r="C62" s="339" t="s">
        <v>251</v>
      </c>
      <c r="D62" s="337" t="s">
        <v>38</v>
      </c>
      <c r="E62" s="337" t="s">
        <v>246</v>
      </c>
      <c r="F62" s="357" t="s">
        <v>45</v>
      </c>
      <c r="G62" s="366" t="s">
        <v>38</v>
      </c>
      <c r="H62" s="244">
        <v>2</v>
      </c>
      <c r="I62" s="338">
        <v>2</v>
      </c>
      <c r="J62" s="245">
        <f>COMBIN(1,1)*COMBIN(5,0)*(COMBIN(2,2)*COMBIN(4,3)+2)*COMBIN(4,4)*COMBIN(4,0)*H62*I62</f>
        <v>24</v>
      </c>
      <c r="K62" s="360"/>
    </row>
    <row r="63" spans="2:11" x14ac:dyDescent="0.2">
      <c r="B63" s="205"/>
      <c r="C63" s="7" t="s">
        <v>252</v>
      </c>
      <c r="D63" s="35" t="s">
        <v>225</v>
      </c>
      <c r="E63" s="39" t="s">
        <v>41</v>
      </c>
      <c r="F63" s="39" t="s">
        <v>41</v>
      </c>
      <c r="G63" s="335" t="s">
        <v>38</v>
      </c>
      <c r="H63" s="46">
        <v>2</v>
      </c>
      <c r="I63" s="59">
        <v>2</v>
      </c>
      <c r="J63" s="494">
        <f>COMBIN(2,2)*COMBIN(4,3)*COMBIN(2,2)*COMBIN(4,0)*COMBIN(3,3)*COMBIN(5,0)*H63*I63</f>
        <v>16</v>
      </c>
      <c r="K63" s="358"/>
    </row>
    <row r="64" spans="2:11" ht="13.5" thickBot="1" x14ac:dyDescent="0.25">
      <c r="B64" s="392"/>
      <c r="C64" s="393" t="s">
        <v>253</v>
      </c>
      <c r="D64" s="414" t="s">
        <v>225</v>
      </c>
      <c r="E64" s="419" t="s">
        <v>38</v>
      </c>
      <c r="F64" s="419" t="s">
        <v>41</v>
      </c>
      <c r="G64" s="416" t="s">
        <v>41</v>
      </c>
      <c r="H64" s="417">
        <v>1</v>
      </c>
      <c r="I64" s="418">
        <v>2</v>
      </c>
      <c r="J64" s="500">
        <f>COMBIN(2,2)*COMBIN(4,3)*COMBIN(1,1)*COMBIN(5,0)*COMBIN(4,4)*COMBIN(4,0)*H64*I64</f>
        <v>8</v>
      </c>
      <c r="K64" s="360"/>
    </row>
    <row r="65" spans="2:12" x14ac:dyDescent="0.2">
      <c r="B65" s="186"/>
      <c r="C65" s="24" t="s">
        <v>254</v>
      </c>
      <c r="D65" s="36" t="s">
        <v>226</v>
      </c>
      <c r="E65" s="35" t="s">
        <v>232</v>
      </c>
      <c r="F65" s="335" t="s">
        <v>41</v>
      </c>
      <c r="G65" s="365" t="s">
        <v>38</v>
      </c>
      <c r="H65" s="46">
        <v>2</v>
      </c>
      <c r="I65" s="59">
        <v>2</v>
      </c>
      <c r="J65" s="494">
        <f>COMBIN(1,1)*(COMBIN(5,1)-1)*COMBIN(3,3)*COMBIN(3,2)*COMBIN(3,3)*COMBIN(5,0)*H65*I65</f>
        <v>48</v>
      </c>
      <c r="K65" s="360"/>
    </row>
    <row r="66" spans="2:12" x14ac:dyDescent="0.2">
      <c r="B66" s="186"/>
      <c r="C66" s="7" t="s">
        <v>255</v>
      </c>
      <c r="D66" s="36" t="s">
        <v>41</v>
      </c>
      <c r="E66" s="35" t="s">
        <v>232</v>
      </c>
      <c r="F66" s="17" t="s">
        <v>261</v>
      </c>
      <c r="G66" s="365" t="s">
        <v>38</v>
      </c>
      <c r="H66" s="46">
        <v>2</v>
      </c>
      <c r="I66" s="59">
        <v>2</v>
      </c>
      <c r="J66" s="494">
        <f>COMBIN(2,2)*COMBIN(4,0)*COMBIN(3,3)*COMBIN(3,2)*(COMBIN(1,1)*(COMBIN(3,1)-1)+1)*COMBIN(3,0)*H66*I66</f>
        <v>36</v>
      </c>
      <c r="K66" s="360"/>
      <c r="L66" s="2"/>
    </row>
    <row r="67" spans="2:12" x14ac:dyDescent="0.2">
      <c r="B67" s="186"/>
      <c r="C67" s="7" t="s">
        <v>257</v>
      </c>
      <c r="D67" s="36" t="s">
        <v>41</v>
      </c>
      <c r="E67" s="35" t="s">
        <v>232</v>
      </c>
      <c r="F67" s="308" t="s">
        <v>41</v>
      </c>
      <c r="G67" s="36" t="s">
        <v>256</v>
      </c>
      <c r="H67" s="46">
        <v>2</v>
      </c>
      <c r="I67" s="59">
        <v>2</v>
      </c>
      <c r="J67" s="494">
        <f>COMBIN(2,2)*COMBIN(4,0)*COMBIN(3,3)*COMBIN(3,2)*COMBIN(2,2)*COMBIN(2,0)*(COMBIN(4,1)-1)*H67*I67</f>
        <v>36</v>
      </c>
      <c r="K67" s="360"/>
    </row>
    <row r="68" spans="2:12" ht="25.5" x14ac:dyDescent="0.2">
      <c r="B68" s="186"/>
      <c r="C68" s="7" t="s">
        <v>259</v>
      </c>
      <c r="D68" s="17" t="s">
        <v>41</v>
      </c>
      <c r="E68" s="17" t="s">
        <v>246</v>
      </c>
      <c r="F68" s="262" t="s">
        <v>41</v>
      </c>
      <c r="G68" s="364" t="s">
        <v>38</v>
      </c>
      <c r="H68" s="44">
        <v>2</v>
      </c>
      <c r="I68" s="57">
        <v>2</v>
      </c>
      <c r="J68" s="495">
        <f>COMBIN(2,2)*COMBIN(4,0)*(COMBIN(2,2)*COMBIN(4,3)+2)*COMBIN(3,3)*COMBIN(5,0)*H68*I68</f>
        <v>24</v>
      </c>
      <c r="K68" s="360"/>
    </row>
    <row r="69" spans="2:12" x14ac:dyDescent="0.2">
      <c r="B69" s="205"/>
      <c r="C69" s="7" t="s">
        <v>260</v>
      </c>
      <c r="D69" s="36" t="s">
        <v>256</v>
      </c>
      <c r="E69" s="35" t="s">
        <v>232</v>
      </c>
      <c r="F69" s="294" t="s">
        <v>41</v>
      </c>
      <c r="G69" s="36" t="s">
        <v>41</v>
      </c>
      <c r="H69" s="46">
        <v>1</v>
      </c>
      <c r="I69" s="59">
        <v>2</v>
      </c>
      <c r="J69" s="494">
        <f>(COMBIN(6,1)-1)*COMBIN(3,3)*COMBIN(3,2)*COMBIN(4,4)*COMBIN(4,0)*H69*I69</f>
        <v>30</v>
      </c>
      <c r="K69" s="360"/>
    </row>
    <row r="70" spans="2:12" x14ac:dyDescent="0.2">
      <c r="B70" s="205"/>
      <c r="C70" s="7" t="s">
        <v>325</v>
      </c>
      <c r="D70" s="36" t="s">
        <v>38</v>
      </c>
      <c r="E70" s="35" t="s">
        <v>232</v>
      </c>
      <c r="F70" s="17" t="s">
        <v>261</v>
      </c>
      <c r="G70" s="36" t="s">
        <v>41</v>
      </c>
      <c r="H70" s="46">
        <v>2</v>
      </c>
      <c r="I70" s="59">
        <v>2</v>
      </c>
      <c r="J70" s="494">
        <f>COMBIN(1,1)*COMBIN(5,0)*COMBIN(3,3)*COMBIN(3,2)*(COMBIN(1,1)*(COMBIN(3,1)-1)+1)*COMBIN(2,2)*COMBIN(2,0)*H70*I70</f>
        <v>36</v>
      </c>
      <c r="K70" s="360"/>
    </row>
    <row r="71" spans="2:12" ht="26.25" thickBot="1" x14ac:dyDescent="0.25">
      <c r="B71" s="386"/>
      <c r="C71" s="420" t="s">
        <v>326</v>
      </c>
      <c r="D71" s="38" t="s">
        <v>38</v>
      </c>
      <c r="E71" s="38" t="s">
        <v>246</v>
      </c>
      <c r="F71" s="368" t="s">
        <v>41</v>
      </c>
      <c r="G71" s="369" t="s">
        <v>41</v>
      </c>
      <c r="H71" s="45">
        <v>1</v>
      </c>
      <c r="I71" s="58">
        <v>2</v>
      </c>
      <c r="J71" s="502">
        <f>COMBIN(1,1)*COMBIN(5,0)*(COMBIN(2,2)*COMBIN(4,3)+2)*COMBIN(4,4)*COMBIN(4,0)*H71*I71</f>
        <v>12</v>
      </c>
      <c r="K71" s="360">
        <f>SUM(J37:J71)</f>
        <v>1050</v>
      </c>
    </row>
    <row r="72" spans="2:12" ht="26.25" thickTop="1" x14ac:dyDescent="0.2">
      <c r="B72" s="385" t="s">
        <v>372</v>
      </c>
      <c r="C72" s="24" t="s">
        <v>262</v>
      </c>
      <c r="D72" s="455" t="s">
        <v>353</v>
      </c>
      <c r="E72" s="35" t="s">
        <v>53</v>
      </c>
      <c r="F72" s="39" t="s">
        <v>227</v>
      </c>
      <c r="G72" s="34" t="s">
        <v>6</v>
      </c>
      <c r="H72" s="370">
        <v>2</v>
      </c>
      <c r="I72" s="371">
        <v>2</v>
      </c>
      <c r="J72" s="503">
        <f>COMBIN(2,2)*COMBIN(4,2)*COMBIN(4,4)*COMBIN(2,0)*COMBIN(2,2)*COMBIN(6,0)*H72*I72</f>
        <v>24</v>
      </c>
      <c r="K72" s="360"/>
    </row>
    <row r="73" spans="2:12" x14ac:dyDescent="0.2">
      <c r="B73" s="385"/>
      <c r="C73" s="24" t="s">
        <v>263</v>
      </c>
      <c r="D73" s="455" t="s">
        <v>353</v>
      </c>
      <c r="E73" s="34" t="s">
        <v>6</v>
      </c>
      <c r="F73" s="39" t="s">
        <v>227</v>
      </c>
      <c r="G73" s="35" t="s">
        <v>53</v>
      </c>
      <c r="H73" s="370">
        <v>2</v>
      </c>
      <c r="I73" s="371">
        <v>2</v>
      </c>
      <c r="J73" s="503">
        <f>COMBIN(2,2)*COMBIN(4,2)*COMBIN(6,0)*COMBIN(6,6)*COMBIN(2,0)*H73*I73</f>
        <v>24</v>
      </c>
      <c r="K73" s="360"/>
    </row>
    <row r="74" spans="2:12" x14ac:dyDescent="0.2">
      <c r="B74" s="205"/>
      <c r="C74" s="7" t="s">
        <v>264</v>
      </c>
      <c r="D74" s="456" t="s">
        <v>353</v>
      </c>
      <c r="E74" s="15" t="s">
        <v>41</v>
      </c>
      <c r="F74" s="15" t="s">
        <v>53</v>
      </c>
      <c r="G74" s="334" t="s">
        <v>6</v>
      </c>
      <c r="H74" s="44">
        <v>2</v>
      </c>
      <c r="I74" s="57">
        <v>2</v>
      </c>
      <c r="J74" s="504">
        <f>COMBIN(2,2)*COMBIN(4,2)*COMBIN(2,2)*COMBIN(4,0)*COMBIN(4,4)*COMBIN(4,0)*H74*I74</f>
        <v>24</v>
      </c>
      <c r="K74" s="360"/>
    </row>
    <row r="75" spans="2:12" x14ac:dyDescent="0.2">
      <c r="B75" s="186"/>
      <c r="C75" s="24" t="s">
        <v>265</v>
      </c>
      <c r="D75" s="455" t="s">
        <v>353</v>
      </c>
      <c r="E75" s="35" t="s">
        <v>53</v>
      </c>
      <c r="F75" s="39" t="s">
        <v>38</v>
      </c>
      <c r="G75" s="335" t="s">
        <v>38</v>
      </c>
      <c r="H75" s="46">
        <v>1</v>
      </c>
      <c r="I75" s="59">
        <v>2</v>
      </c>
      <c r="J75" s="503">
        <f>COMBIN(2,2)*COMBIN(4,2)*COMBIN(4,4)*COMBIN(2,0)*COMBIN(2,2)*COMBIN(6,0)*H75*I75</f>
        <v>12</v>
      </c>
      <c r="K75" s="360"/>
    </row>
    <row r="76" spans="2:12" ht="13.5" thickBot="1" x14ac:dyDescent="0.25">
      <c r="B76" s="392"/>
      <c r="C76" s="393" t="s">
        <v>266</v>
      </c>
      <c r="D76" s="457" t="s">
        <v>353</v>
      </c>
      <c r="E76" s="414" t="s">
        <v>38</v>
      </c>
      <c r="F76" s="414" t="s">
        <v>53</v>
      </c>
      <c r="G76" s="416" t="s">
        <v>38</v>
      </c>
      <c r="H76" s="417">
        <v>2</v>
      </c>
      <c r="I76" s="418">
        <v>2</v>
      </c>
      <c r="J76" s="505">
        <f>COMBIN(2,2)*COMBIN(4,2)*COMBIN(1,1)*COMBIN(5,0)*COMBIN(4,4)*COMBIN(1,1)*COMBIN(3,0)*H76*I76</f>
        <v>24</v>
      </c>
      <c r="K76" s="360"/>
    </row>
    <row r="77" spans="2:12" x14ac:dyDescent="0.2">
      <c r="B77" s="186"/>
      <c r="C77" s="24" t="s">
        <v>267</v>
      </c>
      <c r="D77" s="461" t="s">
        <v>166</v>
      </c>
      <c r="E77" s="458" t="s">
        <v>167</v>
      </c>
      <c r="F77" s="39" t="s">
        <v>53</v>
      </c>
      <c r="G77" s="422" t="s">
        <v>6</v>
      </c>
      <c r="H77" s="46">
        <v>2</v>
      </c>
      <c r="I77" s="59">
        <v>2</v>
      </c>
      <c r="J77" s="503">
        <f>COMBIN(1,1)*(COMBIN(5,1)-1)*COMBIN(3,3)*COMBIN(3,1)*COMBIN(4,4)*COMBIN(4,0)*H77*I77</f>
        <v>48</v>
      </c>
      <c r="K77" s="360"/>
    </row>
    <row r="78" spans="2:12" ht="25.5" x14ac:dyDescent="0.2">
      <c r="B78" s="186"/>
      <c r="C78" s="24" t="s">
        <v>268</v>
      </c>
      <c r="D78" s="35" t="s">
        <v>41</v>
      </c>
      <c r="E78" s="458" t="s">
        <v>354</v>
      </c>
      <c r="F78" s="39" t="s">
        <v>53</v>
      </c>
      <c r="G78" s="422" t="s">
        <v>6</v>
      </c>
      <c r="H78" s="46">
        <v>2</v>
      </c>
      <c r="I78" s="59">
        <v>2</v>
      </c>
      <c r="J78" s="503">
        <f>COMBIN(2,2)*COMBIN(4,0)*(COMBIN(2,2)*COMBIN(4,2)+2)*COMBIN(4,4)*COMBIN(4,0)*H78*I78</f>
        <v>32</v>
      </c>
      <c r="K78" s="360"/>
    </row>
    <row r="79" spans="2:12" x14ac:dyDescent="0.2">
      <c r="B79" s="205"/>
      <c r="C79" s="24" t="s">
        <v>269</v>
      </c>
      <c r="D79" s="372" t="s">
        <v>6</v>
      </c>
      <c r="E79" s="459" t="s">
        <v>167</v>
      </c>
      <c r="F79" s="8" t="s">
        <v>53</v>
      </c>
      <c r="G79" s="465" t="s">
        <v>157</v>
      </c>
      <c r="H79" s="44">
        <v>2</v>
      </c>
      <c r="I79" s="57">
        <v>2</v>
      </c>
      <c r="J79" s="503">
        <f>COMBIN(6,0)*COMBIN(3,3)*COMBIN(3,1)*COMBIN(4,4)*(COMBIN(1,1)*(COMBIN(3,1)-1)+1)*H79*I79</f>
        <v>36</v>
      </c>
      <c r="K79" s="360"/>
    </row>
    <row r="80" spans="2:12" ht="25.5" x14ac:dyDescent="0.2">
      <c r="B80" s="205"/>
      <c r="C80" s="24" t="s">
        <v>270</v>
      </c>
      <c r="D80" s="372" t="s">
        <v>6</v>
      </c>
      <c r="E80" s="458" t="s">
        <v>354</v>
      </c>
      <c r="F80" s="8" t="s">
        <v>53</v>
      </c>
      <c r="G80" s="15" t="s">
        <v>41</v>
      </c>
      <c r="H80" s="44">
        <v>2</v>
      </c>
      <c r="I80" s="57">
        <v>2</v>
      </c>
      <c r="J80" s="503">
        <f>COMBIN(6,0)*(COMBIN(2,2)*COMBIN(4,2)+2)*COMBIN(4,4)*COMBIN(2,2)*COMBIN(2,0)*H80*I80</f>
        <v>32</v>
      </c>
      <c r="K80" s="360"/>
    </row>
    <row r="81" spans="2:11" x14ac:dyDescent="0.2">
      <c r="B81" s="443"/>
      <c r="C81" s="447" t="s">
        <v>282</v>
      </c>
      <c r="D81" s="467" t="s">
        <v>256</v>
      </c>
      <c r="E81" s="459" t="s">
        <v>167</v>
      </c>
      <c r="F81" s="444" t="s">
        <v>53</v>
      </c>
      <c r="G81" s="448" t="s">
        <v>38</v>
      </c>
      <c r="H81" s="445">
        <v>2</v>
      </c>
      <c r="I81" s="446">
        <v>2</v>
      </c>
      <c r="J81" s="506">
        <f>(COMBIN(6,1)-1)*COMBIN(3,3)*COMBIN(3,1)*COMBIN(5,5)*COMBIN(3,0)*H81*I81</f>
        <v>60</v>
      </c>
      <c r="K81" s="360"/>
    </row>
    <row r="82" spans="2:11" ht="25.5" x14ac:dyDescent="0.2">
      <c r="B82" s="205"/>
      <c r="C82" s="7" t="s">
        <v>328</v>
      </c>
      <c r="D82" s="15" t="s">
        <v>38</v>
      </c>
      <c r="E82" s="458" t="s">
        <v>354</v>
      </c>
      <c r="F82" s="8" t="s">
        <v>53</v>
      </c>
      <c r="G82" s="262" t="s">
        <v>38</v>
      </c>
      <c r="H82" s="44">
        <v>2</v>
      </c>
      <c r="I82" s="57">
        <v>2</v>
      </c>
      <c r="J82" s="504">
        <f>COMBIN(1,1)*COMBIN(5,0)*(COMBIN(2,2)*COMBIN(4,2)+2)*COMBIN(5,5)*COMBIN(3,0)*H82*I82</f>
        <v>32</v>
      </c>
      <c r="K82" s="360"/>
    </row>
    <row r="83" spans="2:11" ht="13.5" thickBot="1" x14ac:dyDescent="0.25">
      <c r="B83" s="403"/>
      <c r="C83" s="404" t="s">
        <v>342</v>
      </c>
      <c r="D83" s="449" t="s">
        <v>38</v>
      </c>
      <c r="E83" s="468" t="s">
        <v>167</v>
      </c>
      <c r="F83" s="450" t="s">
        <v>53</v>
      </c>
      <c r="G83" s="469" t="s">
        <v>256</v>
      </c>
      <c r="H83" s="408">
        <v>2</v>
      </c>
      <c r="I83" s="409">
        <v>2</v>
      </c>
      <c r="J83" s="507">
        <f>COMBIN(1,1)*COMBIN(5,0)*COMBIN(3,3)*COMBIN(3,1)*COMBIN(4,4)*(COMBIN(4,1)-1)*H83*I83</f>
        <v>36</v>
      </c>
      <c r="K83" s="360"/>
    </row>
    <row r="84" spans="2:11" x14ac:dyDescent="0.2">
      <c r="B84" s="186"/>
      <c r="C84" s="24" t="s">
        <v>343</v>
      </c>
      <c r="D84" s="35" t="s">
        <v>166</v>
      </c>
      <c r="E84" s="34" t="s">
        <v>6</v>
      </c>
      <c r="F84" s="39" t="s">
        <v>53</v>
      </c>
      <c r="G84" s="35" t="s">
        <v>53</v>
      </c>
      <c r="H84" s="46">
        <v>1</v>
      </c>
      <c r="I84" s="59">
        <v>2</v>
      </c>
      <c r="J84" s="508">
        <f>COMBIN(1,1)*COMBIN(5,1)*COMBIN(6,0)*COMBIN(4,4)*COMBIN(4,4)*H84*I84</f>
        <v>10</v>
      </c>
      <c r="K84" s="360"/>
    </row>
    <row r="85" spans="2:11" x14ac:dyDescent="0.2">
      <c r="B85" s="205"/>
      <c r="C85" s="24" t="s">
        <v>344</v>
      </c>
      <c r="D85" s="34" t="s">
        <v>6</v>
      </c>
      <c r="E85" s="239" t="s">
        <v>157</v>
      </c>
      <c r="F85" s="8" t="s">
        <v>53</v>
      </c>
      <c r="G85" s="15" t="s">
        <v>53</v>
      </c>
      <c r="H85" s="44">
        <v>1</v>
      </c>
      <c r="I85" s="57">
        <v>2</v>
      </c>
      <c r="J85" s="508">
        <f>COMBIN(6,0)*(COMBIN(1,1)*COMBIN(5,1)+1)*COMBIN(4,4)*COMBIN(4,4)*H85*I85</f>
        <v>12</v>
      </c>
      <c r="K85" s="360"/>
    </row>
    <row r="86" spans="2:11" x14ac:dyDescent="0.2">
      <c r="B86" s="205"/>
      <c r="C86" s="7" t="s">
        <v>345</v>
      </c>
      <c r="D86" s="17" t="s">
        <v>256</v>
      </c>
      <c r="E86" s="364" t="s">
        <v>38</v>
      </c>
      <c r="F86" s="8" t="s">
        <v>53</v>
      </c>
      <c r="G86" s="15" t="s">
        <v>53</v>
      </c>
      <c r="H86" s="44">
        <v>1</v>
      </c>
      <c r="I86" s="57">
        <v>2</v>
      </c>
      <c r="J86" s="509">
        <f>(COMBIN(6,1)-1)*COMBIN(1,1)*COMBIN(5,0)*COMBIN(4,4)*COMBIN(4,4)*H86*I86</f>
        <v>10</v>
      </c>
      <c r="K86" s="360"/>
    </row>
    <row r="87" spans="2:11" ht="13.5" thickBot="1" x14ac:dyDescent="0.25">
      <c r="B87" s="342"/>
      <c r="C87" s="451" t="s">
        <v>346</v>
      </c>
      <c r="D87" s="452" t="s">
        <v>38</v>
      </c>
      <c r="E87" s="454" t="s">
        <v>39</v>
      </c>
      <c r="F87" s="453" t="s">
        <v>53</v>
      </c>
      <c r="G87" s="452" t="s">
        <v>53</v>
      </c>
      <c r="H87" s="345">
        <v>1</v>
      </c>
      <c r="I87" s="346">
        <v>2</v>
      </c>
      <c r="J87" s="510">
        <f>COMBIN(1,1)*COMBIN(5,0)*COMBIN(6,1)*COMBIN(4,4)*COMBIN(4,4)*H87*I87</f>
        <v>12</v>
      </c>
      <c r="K87" s="360"/>
    </row>
    <row r="88" spans="2:11" ht="25.5" x14ac:dyDescent="0.2">
      <c r="B88" s="385" t="s">
        <v>373</v>
      </c>
      <c r="C88" s="376" t="s">
        <v>176</v>
      </c>
      <c r="D88" s="455" t="s">
        <v>353</v>
      </c>
      <c r="E88" s="26" t="s">
        <v>45</v>
      </c>
      <c r="F88" s="26" t="s">
        <v>208</v>
      </c>
      <c r="G88" s="105" t="s">
        <v>6</v>
      </c>
      <c r="H88" s="374">
        <v>2</v>
      </c>
      <c r="I88" s="375">
        <v>2</v>
      </c>
      <c r="J88" s="511">
        <f>COMBIN(2,2)*COMBIN(4,2)*COMBIN(3,3)*COMBIN(3,0)*COMBIN(3,3)*COMBIN(5,0)*H88*I88</f>
        <v>24</v>
      </c>
      <c r="K88" s="287"/>
    </row>
    <row r="89" spans="2:11" x14ac:dyDescent="0.2">
      <c r="B89" s="385"/>
      <c r="C89" s="376" t="s">
        <v>271</v>
      </c>
      <c r="D89" s="455" t="s">
        <v>353</v>
      </c>
      <c r="E89" s="105" t="s">
        <v>6</v>
      </c>
      <c r="F89" s="26" t="s">
        <v>208</v>
      </c>
      <c r="G89" s="26" t="s">
        <v>208</v>
      </c>
      <c r="H89" s="374">
        <v>1</v>
      </c>
      <c r="I89" s="375">
        <v>2</v>
      </c>
      <c r="J89" s="511">
        <f>COMBIN(2,2)*COMBIN(4,2)*COMBIN(6,0)*COMBIN(6,6)*COMBIN(2,0)*H89*I89</f>
        <v>12</v>
      </c>
      <c r="K89" s="287"/>
    </row>
    <row r="90" spans="2:11" x14ac:dyDescent="0.2">
      <c r="B90" s="205"/>
      <c r="C90" s="376" t="s">
        <v>272</v>
      </c>
      <c r="D90" s="455" t="s">
        <v>353</v>
      </c>
      <c r="E90" s="26" t="s">
        <v>45</v>
      </c>
      <c r="F90" s="26" t="s">
        <v>41</v>
      </c>
      <c r="G90" s="8" t="s">
        <v>38</v>
      </c>
      <c r="H90" s="374">
        <v>2</v>
      </c>
      <c r="I90" s="375">
        <v>2</v>
      </c>
      <c r="J90" s="511">
        <f>COMBIN(2,2)*COMBIN(4,2)*COMBIN(3,3)*COMBIN(3,0)*COMBIN(3,3)*COMBIN(5,0)*H90*I90</f>
        <v>24</v>
      </c>
    </row>
    <row r="91" spans="2:11" x14ac:dyDescent="0.2">
      <c r="B91" s="205"/>
      <c r="C91" s="376" t="s">
        <v>273</v>
      </c>
      <c r="D91" s="455" t="s">
        <v>353</v>
      </c>
      <c r="E91" s="26" t="s">
        <v>41</v>
      </c>
      <c r="F91" s="26" t="s">
        <v>45</v>
      </c>
      <c r="G91" s="8" t="s">
        <v>38</v>
      </c>
      <c r="H91" s="374">
        <v>2</v>
      </c>
      <c r="I91" s="375">
        <v>2</v>
      </c>
      <c r="J91" s="511">
        <f>COMBIN(2,2)*COMBIN(4,2)*COMBIN(2,2)*COMBIN(4,0)*COMBIN(4,4)*COMBIN(4,0)*H91*I91</f>
        <v>24</v>
      </c>
    </row>
    <row r="92" spans="2:11" ht="13.5" thickBot="1" x14ac:dyDescent="0.25">
      <c r="B92" s="392"/>
      <c r="C92" s="424" t="s">
        <v>274</v>
      </c>
      <c r="D92" s="457" t="s">
        <v>353</v>
      </c>
      <c r="E92" s="396" t="s">
        <v>38</v>
      </c>
      <c r="F92" s="396" t="s">
        <v>45</v>
      </c>
      <c r="G92" s="419" t="s">
        <v>41</v>
      </c>
      <c r="H92" s="425">
        <v>2</v>
      </c>
      <c r="I92" s="426">
        <v>2</v>
      </c>
      <c r="J92" s="512">
        <f>COMBIN(2,2)*COMBIN(4,2)*COMBIN(1,1)*COMBIN(5,0)*COMBIN(5,5)*COMBIN(3,0)*H92*I92</f>
        <v>24</v>
      </c>
    </row>
    <row r="93" spans="2:11" x14ac:dyDescent="0.2">
      <c r="B93" s="186"/>
      <c r="C93" s="376" t="s">
        <v>275</v>
      </c>
      <c r="D93" s="461" t="s">
        <v>169</v>
      </c>
      <c r="E93" s="458" t="s">
        <v>167</v>
      </c>
      <c r="F93" s="39" t="s">
        <v>45</v>
      </c>
      <c r="G93" s="34" t="s">
        <v>6</v>
      </c>
      <c r="H93" s="370">
        <v>2</v>
      </c>
      <c r="I93" s="371">
        <v>2</v>
      </c>
      <c r="J93" s="503">
        <f>COMBIN(2,2)*COMBIN(4,1)*COMBIN(3,3)*COMBIN(3,1)*COMBIN(3,3)*COMBIN(5,0)*H93*I93</f>
        <v>48</v>
      </c>
    </row>
    <row r="94" spans="2:11" x14ac:dyDescent="0.2">
      <c r="B94" s="186"/>
      <c r="C94" s="376" t="s">
        <v>276</v>
      </c>
      <c r="D94" s="34" t="s">
        <v>6</v>
      </c>
      <c r="E94" s="458" t="s">
        <v>167</v>
      </c>
      <c r="F94" s="39" t="s">
        <v>45</v>
      </c>
      <c r="G94" s="459" t="s">
        <v>378</v>
      </c>
      <c r="H94" s="370">
        <v>2</v>
      </c>
      <c r="I94" s="371">
        <v>2</v>
      </c>
      <c r="J94" s="503">
        <f>COMBIN(6,0)*COMBIN(3,3)*COMBIN(3,1)*COMBIN(3,3)*COMBIN(1,0)*(COMBIN(2,2)*(COMBIN(2,1)-1)+1)*H94*I94</f>
        <v>24</v>
      </c>
    </row>
    <row r="95" spans="2:11" ht="13.5" thickBot="1" x14ac:dyDescent="0.25">
      <c r="B95" s="392"/>
      <c r="C95" s="424" t="s">
        <v>277</v>
      </c>
      <c r="D95" s="400" t="s">
        <v>6</v>
      </c>
      <c r="E95" s="471" t="s">
        <v>167</v>
      </c>
      <c r="F95" s="419" t="s">
        <v>45</v>
      </c>
      <c r="G95" s="396" t="s">
        <v>297</v>
      </c>
      <c r="H95" s="427">
        <v>1</v>
      </c>
      <c r="I95" s="423">
        <v>2</v>
      </c>
      <c r="J95" s="505">
        <f>COMBIN(6,0)*COMBIN(3,3)*COMBIN(3,1)*COMBIN(6,6)*COMBIN(2,0)*H95*I95</f>
        <v>6</v>
      </c>
    </row>
    <row r="96" spans="2:11" x14ac:dyDescent="0.2">
      <c r="B96" s="186"/>
      <c r="C96" s="376" t="s">
        <v>278</v>
      </c>
      <c r="D96" s="461" t="s">
        <v>169</v>
      </c>
      <c r="E96" s="458" t="s">
        <v>167</v>
      </c>
      <c r="F96" s="26" t="s">
        <v>41</v>
      </c>
      <c r="G96" s="39" t="s">
        <v>38</v>
      </c>
      <c r="H96" s="370">
        <v>2</v>
      </c>
      <c r="I96" s="371">
        <v>2</v>
      </c>
      <c r="J96" s="503">
        <f>COMBIN(2,2)*COMBIN(4,1)*COMBIN(3,3)*COMBIN(3,1)*COMBIN(3,3)*COMBIN(5,0)*H96*I96</f>
        <v>48</v>
      </c>
    </row>
    <row r="97" spans="2:11" x14ac:dyDescent="0.2">
      <c r="B97" s="186"/>
      <c r="C97" s="376" t="s">
        <v>279</v>
      </c>
      <c r="D97" s="461" t="s">
        <v>166</v>
      </c>
      <c r="E97" s="458" t="s">
        <v>167</v>
      </c>
      <c r="F97" s="26" t="s">
        <v>45</v>
      </c>
      <c r="G97" s="39" t="s">
        <v>38</v>
      </c>
      <c r="H97" s="370">
        <v>2</v>
      </c>
      <c r="I97" s="371">
        <v>2</v>
      </c>
      <c r="J97" s="503">
        <f>COMBIN(1,1)*(COMBIN(5,1)-1)*COMBIN(3,3)*COMBIN(3,1)*COMBIN(4,4)*COMBIN(4,0)*H97*I97</f>
        <v>48</v>
      </c>
    </row>
    <row r="98" spans="2:11" ht="25.5" x14ac:dyDescent="0.2">
      <c r="B98" s="205"/>
      <c r="C98" s="376" t="s">
        <v>329</v>
      </c>
      <c r="D98" s="15" t="s">
        <v>41</v>
      </c>
      <c r="E98" s="459" t="s">
        <v>354</v>
      </c>
      <c r="F98" s="26" t="s">
        <v>45</v>
      </c>
      <c r="G98" s="8" t="s">
        <v>38</v>
      </c>
      <c r="H98" s="377">
        <v>2</v>
      </c>
      <c r="I98" s="378">
        <v>2</v>
      </c>
      <c r="J98" s="504">
        <f>COMBIN(2,2)*COMBIN(4,0)*(COMBIN(2,2)*COMBIN(4,2)+2)*COMBIN(5,5)*COMBIN(4,4)*COMBIN(4,0)*H98*I98</f>
        <v>32</v>
      </c>
    </row>
    <row r="99" spans="2:11" x14ac:dyDescent="0.2">
      <c r="B99" s="205"/>
      <c r="C99" s="376" t="s">
        <v>330</v>
      </c>
      <c r="D99" s="15" t="s">
        <v>41</v>
      </c>
      <c r="E99" s="462" t="s">
        <v>167</v>
      </c>
      <c r="F99" s="459" t="s">
        <v>378</v>
      </c>
      <c r="G99" s="8" t="s">
        <v>38</v>
      </c>
      <c r="H99" s="377">
        <v>2</v>
      </c>
      <c r="I99" s="378">
        <v>2</v>
      </c>
      <c r="J99" s="504">
        <f>COMBIN(2,2)*COMBIN(4,0)*COMBIN(3,3)*COMBIN(3,1)*(COMBIN(2,2)*(COMBIN(2,1)-1)+1)*COMBIN(1,1)*COMBIN(3,0)*H99*I99</f>
        <v>24</v>
      </c>
    </row>
    <row r="100" spans="2:11" ht="13.5" thickBot="1" x14ac:dyDescent="0.25">
      <c r="B100" s="392"/>
      <c r="C100" s="424" t="s">
        <v>332</v>
      </c>
      <c r="D100" s="414" t="s">
        <v>41</v>
      </c>
      <c r="E100" s="463" t="s">
        <v>167</v>
      </c>
      <c r="F100" s="396" t="s">
        <v>45</v>
      </c>
      <c r="G100" s="464" t="s">
        <v>39</v>
      </c>
      <c r="H100" s="427">
        <v>2</v>
      </c>
      <c r="I100" s="423">
        <v>2</v>
      </c>
      <c r="J100" s="505">
        <f>COMBIN(2,2)*COMBIN(4,0)*COMBIN(3,3)*COMBIN(3,1)*COMBIN(3,3)*COMBIN(1,0)*(COMBIN(4,1)-1)*H100*I100</f>
        <v>36</v>
      </c>
      <c r="K100" s="73"/>
    </row>
    <row r="101" spans="2:11" x14ac:dyDescent="0.2">
      <c r="B101" s="186"/>
      <c r="C101" s="376" t="s">
        <v>333</v>
      </c>
      <c r="D101" s="461" t="s">
        <v>256</v>
      </c>
      <c r="E101" s="458" t="s">
        <v>167</v>
      </c>
      <c r="F101" s="26" t="s">
        <v>45</v>
      </c>
      <c r="G101" s="39" t="s">
        <v>41</v>
      </c>
      <c r="H101" s="370">
        <v>2</v>
      </c>
      <c r="I101" s="371">
        <v>2</v>
      </c>
      <c r="J101" s="503">
        <f>(COMBIN(6,1)-1)*COMBIN(3,3)*COMBIN(3,1)*COMBIN(5,5)*COMBIN(3,0)*H101*I101</f>
        <v>60</v>
      </c>
    </row>
    <row r="102" spans="2:11" ht="25.5" x14ac:dyDescent="0.2">
      <c r="B102" s="205"/>
      <c r="C102" s="376" t="s">
        <v>334</v>
      </c>
      <c r="D102" s="15" t="s">
        <v>38</v>
      </c>
      <c r="E102" s="459" t="s">
        <v>354</v>
      </c>
      <c r="F102" s="26" t="s">
        <v>45</v>
      </c>
      <c r="G102" s="8" t="s">
        <v>41</v>
      </c>
      <c r="H102" s="377">
        <v>2</v>
      </c>
      <c r="I102" s="378">
        <v>2</v>
      </c>
      <c r="J102" s="504">
        <f>COMBIN(1,1)*COMBIN(5,0)*(COMBIN(2,2)*COMBIN(4,2)+2)*COMBIN(5,5)*COMBIN(3,0)*H102*I102</f>
        <v>32</v>
      </c>
    </row>
    <row r="103" spans="2:11" x14ac:dyDescent="0.2">
      <c r="B103" s="205"/>
      <c r="C103" s="376" t="s">
        <v>335</v>
      </c>
      <c r="D103" s="15" t="s">
        <v>38</v>
      </c>
      <c r="E103" s="462" t="s">
        <v>167</v>
      </c>
      <c r="F103" s="459" t="s">
        <v>378</v>
      </c>
      <c r="G103" s="8" t="s">
        <v>41</v>
      </c>
      <c r="H103" s="377">
        <v>2</v>
      </c>
      <c r="I103" s="378">
        <v>2</v>
      </c>
      <c r="J103" s="504">
        <f>COMBIN(1,1)*COMBIN(5,0)*COMBIN(3,3)*COMBIN(3,1)*(COMBIN(2,2)*(COMBIN(2,1)-1)+1)*COMBIN(2,2)*COMBIN(2,0)*H103*I103</f>
        <v>24</v>
      </c>
    </row>
    <row r="104" spans="2:11" ht="13.5" thickBot="1" x14ac:dyDescent="0.25">
      <c r="B104" s="392"/>
      <c r="C104" s="424" t="s">
        <v>336</v>
      </c>
      <c r="D104" s="414" t="s">
        <v>38</v>
      </c>
      <c r="E104" s="463" t="s">
        <v>167</v>
      </c>
      <c r="F104" s="396" t="s">
        <v>45</v>
      </c>
      <c r="G104" s="465" t="s">
        <v>157</v>
      </c>
      <c r="H104" s="427">
        <v>2</v>
      </c>
      <c r="I104" s="423">
        <v>2</v>
      </c>
      <c r="J104" s="505">
        <f>COMBIN(1,1)*COMBIN(5,0)*COMBIN(3,3)*COMBIN(3,1)*COMBIN(3,3)*COMBIN(1,0)*(COMBIN(1,1)*(COMBIN(3,1)-1)+1)*H104*I104</f>
        <v>36</v>
      </c>
      <c r="K104" s="73"/>
    </row>
    <row r="105" spans="2:11" x14ac:dyDescent="0.2">
      <c r="B105" s="428"/>
      <c r="C105" s="429" t="s">
        <v>337</v>
      </c>
      <c r="D105" s="430" t="s">
        <v>169</v>
      </c>
      <c r="E105" s="431" t="s">
        <v>45</v>
      </c>
      <c r="F105" s="432" t="s">
        <v>331</v>
      </c>
      <c r="G105" s="433" t="s">
        <v>6</v>
      </c>
      <c r="H105" s="434">
        <v>2</v>
      </c>
      <c r="I105" s="435">
        <v>2</v>
      </c>
      <c r="J105" s="513">
        <f>COMBIN(2,2)*COMBIN(4,1)*COMBIN(3,3)*COMBIN(3,0)*COMBIN(4,4)*COMBIN(4,0)*H105*I105</f>
        <v>16</v>
      </c>
      <c r="K105" s="73"/>
    </row>
    <row r="106" spans="2:11" x14ac:dyDescent="0.2">
      <c r="B106" s="186"/>
      <c r="C106" s="376" t="s">
        <v>338</v>
      </c>
      <c r="D106" s="35" t="s">
        <v>169</v>
      </c>
      <c r="E106" s="34" t="s">
        <v>6</v>
      </c>
      <c r="F106" s="26" t="s">
        <v>331</v>
      </c>
      <c r="G106" s="361" t="s">
        <v>45</v>
      </c>
      <c r="H106" s="370">
        <v>2</v>
      </c>
      <c r="I106" s="371">
        <v>2</v>
      </c>
      <c r="J106" s="508">
        <f>COMBIN(2,2)*COMBIN(4,1)*COMBIN(6,0)*COMBIN(7,7)*COMBIN(1,0)*H106*I106</f>
        <v>16</v>
      </c>
      <c r="K106" s="73"/>
    </row>
    <row r="107" spans="2:11" x14ac:dyDescent="0.2">
      <c r="B107" s="186"/>
      <c r="C107" s="376" t="s">
        <v>339</v>
      </c>
      <c r="D107" s="34" t="s">
        <v>6</v>
      </c>
      <c r="E107" s="26" t="s">
        <v>45</v>
      </c>
      <c r="F107" s="39" t="s">
        <v>53</v>
      </c>
      <c r="G107" s="26" t="s">
        <v>378</v>
      </c>
      <c r="H107" s="370">
        <v>2</v>
      </c>
      <c r="I107" s="371">
        <v>2</v>
      </c>
      <c r="J107" s="508">
        <f>COMBIN(6,0)*COMBIN(3,3)*COMBIN(3,0)*COMBIN(4,4)*(COMBIN(2,2)*(COMBIN(2,1)-1)+1)*H107*I107</f>
        <v>8</v>
      </c>
    </row>
    <row r="108" spans="2:11" ht="13.5" thickBot="1" x14ac:dyDescent="0.25">
      <c r="B108" s="284"/>
      <c r="C108" s="379" t="s">
        <v>340</v>
      </c>
      <c r="D108" s="299" t="s">
        <v>6</v>
      </c>
      <c r="E108" s="48" t="s">
        <v>378</v>
      </c>
      <c r="F108" s="19" t="s">
        <v>53</v>
      </c>
      <c r="G108" s="48" t="s">
        <v>45</v>
      </c>
      <c r="H108" s="380">
        <v>2</v>
      </c>
      <c r="I108" s="373">
        <v>2</v>
      </c>
      <c r="J108" s="514">
        <f>COMBIN(6,0)*(COMBIN(2,2)*COMBIN(4,1)+1)*COMBIN(4,4)*COMBIN(3,3)*COMBIN(1,0)*H108*I108</f>
        <v>20</v>
      </c>
    </row>
    <row r="109" spans="2:11" x14ac:dyDescent="0.2">
      <c r="B109" s="186"/>
      <c r="C109" s="376" t="s">
        <v>355</v>
      </c>
      <c r="D109" s="35" t="s">
        <v>256</v>
      </c>
      <c r="E109" s="200" t="s">
        <v>41</v>
      </c>
      <c r="F109" s="26" t="s">
        <v>53</v>
      </c>
      <c r="G109" s="39" t="s">
        <v>45</v>
      </c>
      <c r="H109" s="370">
        <v>2</v>
      </c>
      <c r="I109" s="371">
        <v>2</v>
      </c>
      <c r="J109" s="508">
        <f>(COMBIN(6,1)-1)*COMBIN(2,2)*COMBIN(4,0)*COMBIN(7,7)*COMBIN(1,0)*H109*I109</f>
        <v>20</v>
      </c>
    </row>
    <row r="110" spans="2:11" x14ac:dyDescent="0.2">
      <c r="B110" s="186"/>
      <c r="C110" s="376" t="s">
        <v>356</v>
      </c>
      <c r="D110" s="35" t="s">
        <v>38</v>
      </c>
      <c r="E110" s="239" t="s">
        <v>157</v>
      </c>
      <c r="F110" s="26" t="s">
        <v>53</v>
      </c>
      <c r="G110" s="39" t="s">
        <v>45</v>
      </c>
      <c r="H110" s="370">
        <v>2</v>
      </c>
      <c r="I110" s="371">
        <v>2</v>
      </c>
      <c r="J110" s="508">
        <f>COMBIN(1,1)*COMBIN(5,0)*(COMBIN(1,1)*(COMBIN(5,1)-1)+1)*COMBIN(7,7)*COMBIN(1,0)*H110*I110</f>
        <v>20</v>
      </c>
    </row>
    <row r="111" spans="2:11" x14ac:dyDescent="0.2">
      <c r="B111" s="186"/>
      <c r="C111" s="376" t="s">
        <v>357</v>
      </c>
      <c r="D111" s="35" t="s">
        <v>38</v>
      </c>
      <c r="E111" s="26" t="s">
        <v>41</v>
      </c>
      <c r="F111" s="26" t="s">
        <v>53</v>
      </c>
      <c r="G111" s="26" t="s">
        <v>378</v>
      </c>
      <c r="H111" s="370">
        <v>2</v>
      </c>
      <c r="I111" s="371">
        <v>2</v>
      </c>
      <c r="J111" s="508">
        <f>COMBIN(1,1)*COMBIN(5,0)*COMBIN(2,2)*COMBIN(4,0)*COMBIN(4,4)*(COMBIN(2,2)*COMBIN(2,1)+1)*H111*I111</f>
        <v>12</v>
      </c>
    </row>
    <row r="112" spans="2:11" x14ac:dyDescent="0.2">
      <c r="B112" s="186"/>
      <c r="C112" s="376" t="s">
        <v>360</v>
      </c>
      <c r="D112" s="35" t="s">
        <v>166</v>
      </c>
      <c r="E112" s="200" t="s">
        <v>38</v>
      </c>
      <c r="F112" s="26" t="s">
        <v>53</v>
      </c>
      <c r="G112" s="39" t="s">
        <v>45</v>
      </c>
      <c r="H112" s="370">
        <v>2</v>
      </c>
      <c r="I112" s="371">
        <v>2</v>
      </c>
      <c r="J112" s="508">
        <f>COMBIN(1,1)*(COMBIN(5,1)-1)*COMBIN(1,1)*COMBIN(5,0)*COMBIN(7,7)*COMBIN(1,0)*H112*I112</f>
        <v>16</v>
      </c>
    </row>
    <row r="113" spans="2:11" x14ac:dyDescent="0.2">
      <c r="B113" s="186"/>
      <c r="C113" s="376" t="s">
        <v>361</v>
      </c>
      <c r="D113" s="35" t="s">
        <v>227</v>
      </c>
      <c r="E113" s="35" t="s">
        <v>256</v>
      </c>
      <c r="F113" s="26" t="s">
        <v>53</v>
      </c>
      <c r="G113" s="39" t="s">
        <v>45</v>
      </c>
      <c r="H113" s="370">
        <v>2</v>
      </c>
      <c r="I113" s="371">
        <v>2</v>
      </c>
      <c r="J113" s="508">
        <f>COMBIN(2,2)*COMBIN(4,0)*(COMBIN(6,1)-1)*COMBIN(7,7)*COMBIN(1,0)*H113*I113</f>
        <v>20</v>
      </c>
    </row>
    <row r="114" spans="2:11" ht="13.5" thickBot="1" x14ac:dyDescent="0.25">
      <c r="B114" s="392"/>
      <c r="C114" s="424" t="s">
        <v>362</v>
      </c>
      <c r="D114" s="414" t="s">
        <v>227</v>
      </c>
      <c r="E114" s="396" t="s">
        <v>38</v>
      </c>
      <c r="F114" s="396" t="s">
        <v>53</v>
      </c>
      <c r="G114" s="396" t="s">
        <v>378</v>
      </c>
      <c r="H114" s="427">
        <v>2</v>
      </c>
      <c r="I114" s="423">
        <v>2</v>
      </c>
      <c r="J114" s="515">
        <f>COMBIN(2,2)*COMBIN(4,0)*COMBIN(1,1)*COMBIN(5,0)*COMBIN(4,4)*(COMBIN(2,2)*COMBIN(2,1)+1)*H114*I114</f>
        <v>12</v>
      </c>
    </row>
    <row r="115" spans="2:11" x14ac:dyDescent="0.2">
      <c r="B115" s="186"/>
      <c r="C115" s="376" t="s">
        <v>363</v>
      </c>
      <c r="D115" s="35" t="s">
        <v>358</v>
      </c>
      <c r="E115" s="200" t="s">
        <v>38</v>
      </c>
      <c r="F115" s="26" t="s">
        <v>53</v>
      </c>
      <c r="G115" s="39" t="s">
        <v>41</v>
      </c>
      <c r="H115" s="370">
        <v>2</v>
      </c>
      <c r="I115" s="371">
        <v>2</v>
      </c>
      <c r="J115" s="508">
        <f>COMBIN(2,2)*COMBIN(4,1)*COMBIN(1,1)*COMBIN(5,0)*COMBIN(6,6)*COMBIN(2,0)*H115*I115</f>
        <v>16</v>
      </c>
    </row>
    <row r="116" spans="2:11" x14ac:dyDescent="0.2">
      <c r="B116" s="186"/>
      <c r="C116" s="376" t="s">
        <v>364</v>
      </c>
      <c r="D116" s="35" t="s">
        <v>256</v>
      </c>
      <c r="E116" s="200" t="s">
        <v>45</v>
      </c>
      <c r="F116" s="26" t="s">
        <v>53</v>
      </c>
      <c r="G116" s="39" t="s">
        <v>41</v>
      </c>
      <c r="H116" s="370">
        <v>2</v>
      </c>
      <c r="I116" s="371">
        <v>2</v>
      </c>
      <c r="J116" s="508">
        <f>COMBIN(6,1)*COMBIN(3,3)*COMBIN(3,0)*COMBIN(6,6)*COMBIN(2,0)*H116*I116</f>
        <v>24</v>
      </c>
    </row>
    <row r="117" spans="2:11" x14ac:dyDescent="0.2">
      <c r="B117" s="186"/>
      <c r="C117" s="376" t="s">
        <v>365</v>
      </c>
      <c r="D117" s="35" t="s">
        <v>359</v>
      </c>
      <c r="E117" s="26" t="s">
        <v>378</v>
      </c>
      <c r="F117" s="26" t="s">
        <v>53</v>
      </c>
      <c r="G117" s="39" t="s">
        <v>41</v>
      </c>
      <c r="H117" s="370">
        <v>2</v>
      </c>
      <c r="I117" s="371">
        <v>2</v>
      </c>
      <c r="J117" s="508">
        <f>COMBIN(1,1)*COMBIN(5,0)*(COMBIN(2,2)*(COMBIN(4,1)-1)+1)*COMBIN(6,6)*COMBIN(2,0)*H117*I117</f>
        <v>16</v>
      </c>
    </row>
    <row r="118" spans="2:11" ht="13.5" thickBot="1" x14ac:dyDescent="0.25">
      <c r="B118" s="392"/>
      <c r="C118" s="424" t="s">
        <v>366</v>
      </c>
      <c r="D118" s="414" t="s">
        <v>359</v>
      </c>
      <c r="E118" s="470" t="s">
        <v>45</v>
      </c>
      <c r="F118" s="396" t="s">
        <v>53</v>
      </c>
      <c r="G118" s="402" t="s">
        <v>157</v>
      </c>
      <c r="H118" s="427">
        <v>2</v>
      </c>
      <c r="I118" s="423">
        <v>2</v>
      </c>
      <c r="J118" s="515">
        <f>COMBIN(1,1)*COMBIN(5,0)*COMBIN(3,3)*COMBIN(3,0)*COMBIN(4,4)*(COMBIN(1,1)*(COMBIN(3,1)-1)+1)*H118*I118</f>
        <v>12</v>
      </c>
    </row>
    <row r="119" spans="2:11" x14ac:dyDescent="0.2">
      <c r="B119" s="186"/>
      <c r="C119" s="376" t="s">
        <v>368</v>
      </c>
      <c r="D119" s="35" t="s">
        <v>358</v>
      </c>
      <c r="E119" s="200" t="s">
        <v>41</v>
      </c>
      <c r="F119" s="26" t="s">
        <v>53</v>
      </c>
      <c r="G119" s="39" t="s">
        <v>38</v>
      </c>
      <c r="H119" s="370">
        <v>2</v>
      </c>
      <c r="I119" s="371">
        <v>2</v>
      </c>
      <c r="J119" s="508">
        <f>COMBIN(2,2)*COMBIN(4,1)*COMBIN(2,2)*COMBIN(4,0)*COMBIN(5,5)*COMBIN(3,0)*H119*I119</f>
        <v>16</v>
      </c>
    </row>
    <row r="120" spans="2:11" x14ac:dyDescent="0.2">
      <c r="B120" s="186"/>
      <c r="C120" s="376" t="s">
        <v>369</v>
      </c>
      <c r="D120" s="35" t="s">
        <v>166</v>
      </c>
      <c r="E120" s="200" t="s">
        <v>45</v>
      </c>
      <c r="F120" s="26" t="s">
        <v>53</v>
      </c>
      <c r="G120" s="39" t="s">
        <v>38</v>
      </c>
      <c r="H120" s="370">
        <v>2</v>
      </c>
      <c r="I120" s="371">
        <v>2</v>
      </c>
      <c r="J120" s="508">
        <f>COMBIN(1,1)*(COMBIN(5,1)-1)*COMBIN(3,3)*COMBIN(3,3)*COMBIN(5,5)*COMBIN(3,0)*H120*I120</f>
        <v>16</v>
      </c>
    </row>
    <row r="121" spans="2:11" x14ac:dyDescent="0.2">
      <c r="B121" s="186"/>
      <c r="C121" s="376" t="s">
        <v>370</v>
      </c>
      <c r="D121" s="35" t="s">
        <v>367</v>
      </c>
      <c r="E121" s="26" t="s">
        <v>378</v>
      </c>
      <c r="F121" s="26" t="s">
        <v>53</v>
      </c>
      <c r="G121" s="39" t="s">
        <v>38</v>
      </c>
      <c r="H121" s="370">
        <v>2</v>
      </c>
      <c r="I121" s="371">
        <v>2</v>
      </c>
      <c r="J121" s="508">
        <f>COMBIN(2,2)*COMBIN(4,0)*(COMBIN(2,2)*(COMBIN(4,1)-1)+1)*COMBIN(5,5)*COMBIN(3,0)*H121*I121</f>
        <v>16</v>
      </c>
    </row>
    <row r="122" spans="2:11" ht="13.5" thickBot="1" x14ac:dyDescent="0.25">
      <c r="B122" s="186"/>
      <c r="C122" s="7" t="s">
        <v>371</v>
      </c>
      <c r="D122" s="36" t="s">
        <v>41</v>
      </c>
      <c r="E122" s="35" t="s">
        <v>208</v>
      </c>
      <c r="F122" s="308" t="s">
        <v>53</v>
      </c>
      <c r="G122" s="36" t="s">
        <v>256</v>
      </c>
      <c r="H122" s="46">
        <v>2</v>
      </c>
      <c r="I122" s="59">
        <v>2</v>
      </c>
      <c r="J122" s="494">
        <f>COMBIN(2,2)*COMBIN(4,0)*COMBIN(3,3)*COMBIN(3,0)*COMBIN(4,4)*COMBIN(4,1)*H122*I122</f>
        <v>16</v>
      </c>
      <c r="K122" s="360"/>
    </row>
    <row r="123" spans="2:11" ht="26.25" thickBot="1" x14ac:dyDescent="0.25">
      <c r="B123" s="436" t="s">
        <v>374</v>
      </c>
      <c r="C123" s="437" t="s">
        <v>280</v>
      </c>
      <c r="D123" s="460" t="s">
        <v>353</v>
      </c>
      <c r="E123" s="438" t="s">
        <v>41</v>
      </c>
      <c r="F123" s="439" t="s">
        <v>41</v>
      </c>
      <c r="G123" s="439" t="s">
        <v>41</v>
      </c>
      <c r="H123" s="440">
        <v>1</v>
      </c>
      <c r="I123" s="441">
        <v>2</v>
      </c>
      <c r="J123" s="516">
        <f>COMBIN(2,2)*COMBIN(4,2)*COMBIN(6,6)*COMBIN(8,0)*H123*I123</f>
        <v>12</v>
      </c>
    </row>
    <row r="124" spans="2:11" x14ac:dyDescent="0.2">
      <c r="B124" s="186"/>
      <c r="C124" s="34" t="s">
        <v>281</v>
      </c>
      <c r="D124" s="461" t="s">
        <v>166</v>
      </c>
      <c r="E124" s="459" t="s">
        <v>167</v>
      </c>
      <c r="F124" s="8" t="s">
        <v>41</v>
      </c>
      <c r="G124" s="8" t="s">
        <v>41</v>
      </c>
      <c r="H124" s="44">
        <v>1</v>
      </c>
      <c r="I124" s="57">
        <v>2</v>
      </c>
      <c r="J124" s="517">
        <f>COMBIN(1,1)*(COMBIN(5,1)-1)*COMBIN(3,3)*COMBIN(3,1)*COMBIN(4,4)*COMBIN(4,0)*H124*I124</f>
        <v>24</v>
      </c>
    </row>
    <row r="125" spans="2:11" ht="25.5" x14ac:dyDescent="0.2">
      <c r="B125" s="205"/>
      <c r="C125" s="14" t="s">
        <v>283</v>
      </c>
      <c r="D125" s="39" t="s">
        <v>41</v>
      </c>
      <c r="E125" s="458" t="s">
        <v>354</v>
      </c>
      <c r="F125" s="39" t="s">
        <v>41</v>
      </c>
      <c r="G125" s="39" t="s">
        <v>41</v>
      </c>
      <c r="H125" s="46">
        <v>1</v>
      </c>
      <c r="I125" s="59">
        <v>2</v>
      </c>
      <c r="J125" s="501">
        <f>COMBIN(2,2)*COMBIN(4,0)*(COMBIN(2,2)*COMBIN(4,2)+2-1)*COMBIN(4,4)*COMBIN(4,0)*H125*I125</f>
        <v>14</v>
      </c>
    </row>
    <row r="126" spans="2:11" x14ac:dyDescent="0.2">
      <c r="B126" s="205"/>
      <c r="C126" s="14" t="s">
        <v>284</v>
      </c>
      <c r="D126" s="8" t="s">
        <v>41</v>
      </c>
      <c r="E126" s="459" t="s">
        <v>167</v>
      </c>
      <c r="F126" s="466" t="s">
        <v>157</v>
      </c>
      <c r="G126" s="8" t="s">
        <v>41</v>
      </c>
      <c r="H126" s="44">
        <v>2</v>
      </c>
      <c r="I126" s="57">
        <v>2</v>
      </c>
      <c r="J126" s="517">
        <f>COMBIN(2,2)*COMBIN(4,0)*COMBIN(3,3)*COMBIN(3,1)*(COMBIN(1,1)*(COMBIN(3,1)-1)+1)*COMBIN(2,2)*COMBIN(2,0)*H126*I126</f>
        <v>36</v>
      </c>
    </row>
    <row r="127" spans="2:11" ht="13.5" thickBot="1" x14ac:dyDescent="0.25">
      <c r="B127" s="392"/>
      <c r="C127" s="400" t="s">
        <v>286</v>
      </c>
      <c r="D127" s="419" t="s">
        <v>41</v>
      </c>
      <c r="E127" s="396" t="s">
        <v>285</v>
      </c>
      <c r="F127" s="419" t="s">
        <v>41</v>
      </c>
      <c r="G127" s="419" t="s">
        <v>41</v>
      </c>
      <c r="H127" s="417">
        <v>1</v>
      </c>
      <c r="I127" s="418">
        <v>2</v>
      </c>
      <c r="J127" s="500">
        <f>COMBIN(2,2)*COMBIN(4,0)*COMBIN(4,4)*COMBIN(2,0)*COMBIN(4,4)*COMBIN(4,0)*H127*I127</f>
        <v>2</v>
      </c>
    </row>
    <row r="128" spans="2:11" x14ac:dyDescent="0.2">
      <c r="B128" s="186"/>
      <c r="C128" s="34" t="s">
        <v>287</v>
      </c>
      <c r="D128" s="35" t="s">
        <v>166</v>
      </c>
      <c r="E128" s="26" t="s">
        <v>41</v>
      </c>
      <c r="F128" s="26" t="s">
        <v>53</v>
      </c>
      <c r="G128" s="39" t="s">
        <v>41</v>
      </c>
      <c r="H128" s="46">
        <v>2</v>
      </c>
      <c r="I128" s="59">
        <v>2</v>
      </c>
      <c r="J128" s="494">
        <f>COMBIN(1,1)*(COMBIN(5,1)-1)*COMBIN(2,2)*COMBIN(4,0)*COMBIN(6,6)*COMBIN(2,0)*H128*I128</f>
        <v>16</v>
      </c>
    </row>
    <row r="129" spans="2:11" x14ac:dyDescent="0.2">
      <c r="B129" s="205"/>
      <c r="C129" s="14" t="s">
        <v>288</v>
      </c>
      <c r="D129" s="13" t="s">
        <v>41</v>
      </c>
      <c r="E129" s="16" t="s">
        <v>157</v>
      </c>
      <c r="F129" s="13" t="s">
        <v>53</v>
      </c>
      <c r="G129" s="8" t="s">
        <v>41</v>
      </c>
      <c r="H129" s="44">
        <v>2</v>
      </c>
      <c r="I129" s="57">
        <v>2</v>
      </c>
      <c r="J129" s="495">
        <f>COMBIN(2,2)*COMBIN(4,0)*(COMBIN(1,1)*(COMBIN(5,1)-1)+1)*COMBIN(6,6)*COMBIN(2,0)*H129*I129</f>
        <v>20</v>
      </c>
    </row>
    <row r="130" spans="2:11" x14ac:dyDescent="0.2">
      <c r="B130" s="205"/>
      <c r="C130" s="14" t="s">
        <v>289</v>
      </c>
      <c r="D130" s="13" t="s">
        <v>41</v>
      </c>
      <c r="E130" s="13" t="s">
        <v>41</v>
      </c>
      <c r="F130" s="13" t="s">
        <v>53</v>
      </c>
      <c r="G130" s="16" t="s">
        <v>157</v>
      </c>
      <c r="H130" s="44">
        <v>2</v>
      </c>
      <c r="I130" s="57">
        <v>2</v>
      </c>
      <c r="J130" s="495">
        <f>COMBIN(2,2)*COMBIN(4,0)*COMBIN(2,2)*COMBIN(4,0)*COMBIN(4,4)*(COMBIN(1,1)*(COMBIN(3,1)-1)+1)*H130*I130</f>
        <v>12</v>
      </c>
    </row>
    <row r="131" spans="2:11" ht="13.5" thickBot="1" x14ac:dyDescent="0.25">
      <c r="B131" s="386"/>
      <c r="C131" s="311" t="s">
        <v>290</v>
      </c>
      <c r="D131" s="388" t="s">
        <v>41</v>
      </c>
      <c r="E131" s="388" t="s">
        <v>41</v>
      </c>
      <c r="F131" s="388" t="s">
        <v>53</v>
      </c>
      <c r="G131" s="387" t="s">
        <v>41</v>
      </c>
      <c r="H131" s="315">
        <v>2</v>
      </c>
      <c r="I131" s="316">
        <v>2</v>
      </c>
      <c r="J131" s="498">
        <f>COMBIN(2,2)*COMBIN(4,0)*COMBIN(2,2)*COMBIN(4,0)*COMBIN(6,6)*COMBIN(2,0)*H131*I131</f>
        <v>4</v>
      </c>
      <c r="K131" s="53">
        <f>SUM(J72:J131)</f>
        <v>1386</v>
      </c>
    </row>
    <row r="132" spans="2:11" ht="26.25" thickTop="1" x14ac:dyDescent="0.2">
      <c r="B132" s="385" t="s">
        <v>375</v>
      </c>
      <c r="C132" s="34" t="s">
        <v>291</v>
      </c>
      <c r="D132" s="15" t="s">
        <v>169</v>
      </c>
      <c r="E132" s="35" t="s">
        <v>45</v>
      </c>
      <c r="F132" s="35" t="s">
        <v>45</v>
      </c>
      <c r="G132" s="39" t="s">
        <v>38</v>
      </c>
      <c r="H132" s="46">
        <v>2</v>
      </c>
      <c r="I132" s="59">
        <v>2</v>
      </c>
      <c r="J132" s="494">
        <f>COMBIN(2,2)*COMBIN(4,1)*COMBIN(3,3)*COMBIN(3,0)*COMBIN(4,4)*COMBIN(4,0)*H132*I132</f>
        <v>16</v>
      </c>
    </row>
    <row r="133" spans="2:11" x14ac:dyDescent="0.2">
      <c r="B133" s="385"/>
      <c r="C133" s="34" t="s">
        <v>292</v>
      </c>
      <c r="D133" s="15" t="s">
        <v>169</v>
      </c>
      <c r="E133" s="35" t="s">
        <v>38</v>
      </c>
      <c r="F133" s="35" t="s">
        <v>45</v>
      </c>
      <c r="G133" s="39" t="s">
        <v>45</v>
      </c>
      <c r="H133" s="46">
        <v>1</v>
      </c>
      <c r="I133" s="59">
        <v>2</v>
      </c>
      <c r="J133" s="494">
        <f>COMBIN(2,2)*COMBIN(4,1)*COMBIN(1,1)*COMBIN(5,0)*COMBIN(6,6)*COMBIN(2,0)*H133*I133</f>
        <v>8</v>
      </c>
    </row>
    <row r="134" spans="2:11" x14ac:dyDescent="0.2">
      <c r="B134" s="390"/>
      <c r="C134" s="34" t="s">
        <v>293</v>
      </c>
      <c r="D134" s="334" t="s">
        <v>39</v>
      </c>
      <c r="E134" s="15" t="s">
        <v>45</v>
      </c>
      <c r="F134" s="15" t="s">
        <v>45</v>
      </c>
      <c r="G134" s="8" t="s">
        <v>45</v>
      </c>
      <c r="H134" s="44">
        <v>1</v>
      </c>
      <c r="I134" s="57">
        <v>2</v>
      </c>
      <c r="J134" s="495">
        <f>(COMBIN(6,1)-1)*COMBIN(3,3)*COMBIN(3,0)*COMBIN(6,6)*COMBIN(2,0)*H134*I134</f>
        <v>10</v>
      </c>
    </row>
    <row r="135" spans="2:11" x14ac:dyDescent="0.2">
      <c r="B135" s="390"/>
      <c r="C135" s="34" t="s">
        <v>294</v>
      </c>
      <c r="D135" s="39" t="s">
        <v>38</v>
      </c>
      <c r="E135" s="13" t="s">
        <v>378</v>
      </c>
      <c r="F135" s="15" t="s">
        <v>45</v>
      </c>
      <c r="G135" s="8" t="s">
        <v>45</v>
      </c>
      <c r="H135" s="44">
        <v>1</v>
      </c>
      <c r="I135" s="57">
        <v>2</v>
      </c>
      <c r="J135" s="495">
        <f>COMBIN(1,1)*COMBIN(5,0)*(COMBIN(2,2)*(COMBIN(4,1)-1)+1)*COMBIN(6,6)*COMBIN(2,0)*H135*I135</f>
        <v>8</v>
      </c>
    </row>
    <row r="136" spans="2:11" x14ac:dyDescent="0.2">
      <c r="B136" s="390"/>
      <c r="C136" s="34" t="s">
        <v>295</v>
      </c>
      <c r="D136" s="39" t="s">
        <v>38</v>
      </c>
      <c r="E136" s="8" t="s">
        <v>45</v>
      </c>
      <c r="F136" s="13" t="s">
        <v>378</v>
      </c>
      <c r="G136" s="8" t="s">
        <v>45</v>
      </c>
      <c r="H136" s="44">
        <v>2</v>
      </c>
      <c r="I136" s="57">
        <v>2</v>
      </c>
      <c r="J136" s="495">
        <f>COMBIN(1,1)*COMBIN(5,0)*COMBIN(3,3)*COMBIN(3,0)*(COMBIN(2,2)*(COMBIN(2,1)-1)+1)*COMBIN(3,3)*COMBIN(1,0)*H136*I136</f>
        <v>8</v>
      </c>
    </row>
    <row r="137" spans="2:11" ht="13.5" thickBot="1" x14ac:dyDescent="0.25">
      <c r="B137" s="392"/>
      <c r="C137" s="400" t="s">
        <v>296</v>
      </c>
      <c r="D137" s="414" t="s">
        <v>38</v>
      </c>
      <c r="E137" s="396" t="s">
        <v>297</v>
      </c>
      <c r="F137" s="419" t="s">
        <v>45</v>
      </c>
      <c r="G137" s="419" t="s">
        <v>45</v>
      </c>
      <c r="H137" s="417">
        <v>1</v>
      </c>
      <c r="I137" s="418">
        <v>2</v>
      </c>
      <c r="J137" s="500">
        <f>COMBIN(1,1)*COMBIN(5,0)*COMBIN(3,3)*COMBIN(3,0)*COMBIN(6,6)*COMBIN(2,0)*H137*I137</f>
        <v>2</v>
      </c>
      <c r="K137" s="73"/>
    </row>
    <row r="138" spans="2:11" x14ac:dyDescent="0.2">
      <c r="B138" s="385"/>
      <c r="C138" s="34" t="s">
        <v>347</v>
      </c>
      <c r="D138" s="35" t="s">
        <v>169</v>
      </c>
      <c r="E138" s="35" t="s">
        <v>45</v>
      </c>
      <c r="F138" s="35" t="s">
        <v>41</v>
      </c>
      <c r="G138" s="39" t="s">
        <v>341</v>
      </c>
      <c r="H138" s="46">
        <v>1</v>
      </c>
      <c r="I138" s="59">
        <v>2</v>
      </c>
      <c r="J138" s="494">
        <f>COMBIN(2,2)*COMBIN(4,1)*COMBIN(3,3)*COMBIN(3,0)*COMBIN(4,4)*COMBIN(4,0)*H138*I138</f>
        <v>8</v>
      </c>
    </row>
    <row r="139" spans="2:11" x14ac:dyDescent="0.2">
      <c r="B139" s="385"/>
      <c r="C139" s="34" t="s">
        <v>348</v>
      </c>
      <c r="D139" s="15" t="s">
        <v>169</v>
      </c>
      <c r="E139" s="35" t="s">
        <v>341</v>
      </c>
      <c r="F139" s="35" t="s">
        <v>45</v>
      </c>
      <c r="G139" s="39" t="s">
        <v>41</v>
      </c>
      <c r="H139" s="46">
        <v>2</v>
      </c>
      <c r="I139" s="59">
        <v>2</v>
      </c>
      <c r="J139" s="494">
        <f>COMBIN(2,2)*COMBIN(4,1)*COMBIN(2,2)*COMBIN(4,0)*COMBIN(5,5)*COMBIN(3,0)*H139*I139</f>
        <v>16</v>
      </c>
    </row>
    <row r="140" spans="2:11" x14ac:dyDescent="0.2">
      <c r="B140" s="205"/>
      <c r="C140" s="14" t="s">
        <v>349</v>
      </c>
      <c r="D140" s="35" t="s">
        <v>166</v>
      </c>
      <c r="E140" s="13" t="s">
        <v>45</v>
      </c>
      <c r="F140" s="8" t="s">
        <v>45</v>
      </c>
      <c r="G140" s="8" t="s">
        <v>41</v>
      </c>
      <c r="H140" s="44">
        <v>2</v>
      </c>
      <c r="I140" s="57">
        <v>2</v>
      </c>
      <c r="J140" s="495">
        <f>COMBIN(1,1)*COMBIN(5,1)*COMBIN(3,3)*COMBIN(3,0)*COMBIN(5,5)*COMBIN(3,0)*H140*I140</f>
        <v>20</v>
      </c>
    </row>
    <row r="141" spans="2:11" x14ac:dyDescent="0.2">
      <c r="B141" s="205"/>
      <c r="C141" s="14" t="s">
        <v>350</v>
      </c>
      <c r="D141" s="35" t="s">
        <v>166</v>
      </c>
      <c r="E141" s="13" t="s">
        <v>41</v>
      </c>
      <c r="F141" s="15" t="s">
        <v>45</v>
      </c>
      <c r="G141" s="8" t="s">
        <v>45</v>
      </c>
      <c r="H141" s="44">
        <v>1</v>
      </c>
      <c r="I141" s="57">
        <v>2</v>
      </c>
      <c r="J141" s="495">
        <f>COMBIN(1,1)*COMBIN(5,1)*COMBIN(2,2)*COMBIN(46,0)*COMBIN(6,6)*COMBIN(2,0)*H141*I141</f>
        <v>10</v>
      </c>
    </row>
    <row r="142" spans="2:11" x14ac:dyDescent="0.2">
      <c r="B142" s="205"/>
      <c r="C142" s="14" t="s">
        <v>351</v>
      </c>
      <c r="D142" s="13" t="s">
        <v>41</v>
      </c>
      <c r="E142" s="16" t="s">
        <v>157</v>
      </c>
      <c r="F142" s="13" t="s">
        <v>45</v>
      </c>
      <c r="G142" s="8" t="s">
        <v>45</v>
      </c>
      <c r="H142" s="44">
        <v>1</v>
      </c>
      <c r="I142" s="57">
        <v>2</v>
      </c>
      <c r="J142" s="495">
        <f>COMBIN(2,2)*COMBIN(4,0)*(COMBIN(1,1)*(COMBIN(5,1)-1)+1)*COMBIN(6,6)*COMBIN(2,0)*H142*I142</f>
        <v>10</v>
      </c>
    </row>
    <row r="143" spans="2:11" ht="26.25" thickBot="1" x14ac:dyDescent="0.25">
      <c r="B143" s="442"/>
      <c r="C143" s="299" t="s">
        <v>352</v>
      </c>
      <c r="D143" s="48" t="s">
        <v>41</v>
      </c>
      <c r="E143" s="19" t="s">
        <v>41</v>
      </c>
      <c r="F143" s="48" t="s">
        <v>158</v>
      </c>
      <c r="G143" s="19" t="s">
        <v>45</v>
      </c>
      <c r="H143" s="244">
        <v>2</v>
      </c>
      <c r="I143" s="338">
        <v>2</v>
      </c>
      <c r="J143" s="245">
        <f>COMBIN(2,2)*COMBIN(4,0)*COMBIN(4,4)*COMBIN(2,0)*(COMBIN(2,2)*(COMBIN(2,1)-1)+2)*COMBIN(3,3)*COMBIN(1,0)*H143*I143</f>
        <v>12</v>
      </c>
      <c r="K143" s="73">
        <f>SUM(J132:J143)</f>
        <v>128</v>
      </c>
    </row>
    <row r="144" spans="2:11" x14ac:dyDescent="0.2">
      <c r="J144" s="421">
        <f>SUM(J4:J143)</f>
        <v>2976</v>
      </c>
      <c r="K144">
        <f>SUM(K4:K143)</f>
        <v>2976</v>
      </c>
    </row>
    <row r="145" spans="8:10" x14ac:dyDescent="0.2">
      <c r="H145" s="83"/>
      <c r="I145" s="83"/>
      <c r="J145" s="250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мизер против 9-ной</vt:lpstr>
      <vt:lpstr>Ответы на критику</vt:lpstr>
      <vt:lpstr>мизер vs "преферанс"</vt:lpstr>
      <vt:lpstr>9-10-ные для Д10_98_10987_10987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Gena</dc:creator>
  <cp:lastModifiedBy>Михайлов</cp:lastModifiedBy>
  <dcterms:created xsi:type="dcterms:W3CDTF">2011-06-07T17:49:00Z</dcterms:created>
  <dcterms:modified xsi:type="dcterms:W3CDTF">2020-02-04T13:31:47Z</dcterms:modified>
</cp:coreProperties>
</file>